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hoa\6. Lương  từ 2025\Năm 2025\"/>
    </mc:Choice>
  </mc:AlternateContent>
  <xr:revisionPtr revIDLastSave="0" documentId="13_ncr:1_{6E4F7D71-5381-4D7E-8405-C9AC95ACEC97}" xr6:coauthVersionLast="45" xr6:coauthVersionMax="45" xr10:uidLastSave="{00000000-0000-0000-0000-000000000000}"/>
  <bookViews>
    <workbookView xWindow="-120" yWindow="-120" windowWidth="24240" windowHeight="13140" activeTab="1" xr2:uid="{59FDA6CC-AD86-4057-9F5A-24294E802E60}"/>
  </bookViews>
  <sheets>
    <sheet name=" LT 6.25(2340k)" sheetId="1" r:id="rId1"/>
    <sheet name=" LT 7.25(2340k)" sheetId="2" r:id="rId2"/>
  </sheets>
  <externalReferences>
    <externalReference r:id="rId3"/>
    <externalReference r:id="rId4"/>
    <externalReference r:id="rId5"/>
    <externalReference r:id="rId6"/>
    <externalReference r:id="rId7"/>
  </externalReferences>
  <definedNames>
    <definedName name="______________a129" localSheetId="1" hidden="1">{"Offgrid",#N/A,FALSE,"OFFGRID";"Region",#N/A,FALSE,"REGION";"Offgrid -2",#N/A,FALSE,"OFFGRID";"WTP",#N/A,FALSE,"WTP";"WTP -2",#N/A,FALSE,"WTP";"Project",#N/A,FALSE,"PROJECT";"Summary -2",#N/A,FALSE,"SUMMARY"}</definedName>
    <definedName name="______________a129" hidden="1">{"Offgrid",#N/A,FALSE,"OFFGRID";"Region",#N/A,FALSE,"REGION";"Offgrid -2",#N/A,FALSE,"OFFGRID";"WTP",#N/A,FALSE,"WTP";"WTP -2",#N/A,FALSE,"WTP";"Project",#N/A,FALSE,"PROJECT";"Summary -2",#N/A,FALSE,"SUMMARY"}</definedName>
    <definedName name="______________a130" localSheetId="1" hidden="1">{"Offgrid",#N/A,FALSE,"OFFGRID";"Region",#N/A,FALSE,"REGION";"Offgrid -2",#N/A,FALSE,"OFFGRID";"WTP",#N/A,FALSE,"WTP";"WTP -2",#N/A,FALSE,"WTP";"Project",#N/A,FALSE,"PROJECT";"Summary -2",#N/A,FALSE,"SUMMARY"}</definedName>
    <definedName name="______________a130" hidden="1">{"Offgrid",#N/A,FALSE,"OFFGRID";"Region",#N/A,FALSE,"REGION";"Offgrid -2",#N/A,FALSE,"OFFGRID";"WTP",#N/A,FALSE,"WTP";"WTP -2",#N/A,FALSE,"WTP";"Project",#N/A,FALSE,"PROJECT";"Summary -2",#N/A,FALSE,"SUMMARY"}</definedName>
    <definedName name="____________a129" localSheetId="1" hidden="1">{"Offgrid",#N/A,FALSE,"OFFGRID";"Region",#N/A,FALSE,"REGION";"Offgrid -2",#N/A,FALSE,"OFFGRID";"WTP",#N/A,FALSE,"WTP";"WTP -2",#N/A,FALSE,"WTP";"Project",#N/A,FALSE,"PROJECT";"Summary -2",#N/A,FALSE,"SUMMARY"}</definedName>
    <definedName name="____________a129" hidden="1">{"Offgrid",#N/A,FALSE,"OFFGRID";"Region",#N/A,FALSE,"REGION";"Offgrid -2",#N/A,FALSE,"OFFGRID";"WTP",#N/A,FALSE,"WTP";"WTP -2",#N/A,FALSE,"WTP";"Project",#N/A,FALSE,"PROJECT";"Summary -2",#N/A,FALSE,"SUMMARY"}</definedName>
    <definedName name="____________a130" localSheetId="1" hidden="1">{"Offgrid",#N/A,FALSE,"OFFGRID";"Region",#N/A,FALSE,"REGION";"Offgrid -2",#N/A,FALSE,"OFFGRID";"WTP",#N/A,FALSE,"WTP";"WTP -2",#N/A,FALSE,"WTP";"Project",#N/A,FALSE,"PROJECT";"Summary -2",#N/A,FALSE,"SUMMARY"}</definedName>
    <definedName name="____________a130" hidden="1">{"Offgrid",#N/A,FALSE,"OFFGRID";"Region",#N/A,FALSE,"REGION";"Offgrid -2",#N/A,FALSE,"OFFGRID";"WTP",#N/A,FALSE,"WTP";"WTP -2",#N/A,FALSE,"WTP";"Project",#N/A,FALSE,"PROJECT";"Summary -2",#N/A,FALSE,"SUMMARY"}</definedName>
    <definedName name="___________a129" localSheetId="1" hidden="1">{"Offgrid",#N/A,FALSE,"OFFGRID";"Region",#N/A,FALSE,"REGION";"Offgrid -2",#N/A,FALSE,"OFFGRID";"WTP",#N/A,FALSE,"WTP";"WTP -2",#N/A,FALSE,"WTP";"Project",#N/A,FALSE,"PROJECT";"Summary -2",#N/A,FALSE,"SUMMARY"}</definedName>
    <definedName name="___________a129" hidden="1">{"Offgrid",#N/A,FALSE,"OFFGRID";"Region",#N/A,FALSE,"REGION";"Offgrid -2",#N/A,FALSE,"OFFGRID";"WTP",#N/A,FALSE,"WTP";"WTP -2",#N/A,FALSE,"WTP";"Project",#N/A,FALSE,"PROJECT";"Summary -2",#N/A,FALSE,"SUMMARY"}</definedName>
    <definedName name="___________a130" localSheetId="1" hidden="1">{"Offgrid",#N/A,FALSE,"OFFGRID";"Region",#N/A,FALSE,"REGION";"Offgrid -2",#N/A,FALSE,"OFFGRID";"WTP",#N/A,FALSE,"WTP";"WTP -2",#N/A,FALSE,"WTP";"Project",#N/A,FALSE,"PROJECT";"Summary -2",#N/A,FALSE,"SUMMARY"}</definedName>
    <definedName name="___________a130" hidden="1">{"Offgrid",#N/A,FALSE,"OFFGRID";"Region",#N/A,FALSE,"REGION";"Offgrid -2",#N/A,FALSE,"OFFGRID";"WTP",#N/A,FALSE,"WTP";"WTP -2",#N/A,FALSE,"WTP";"Project",#N/A,FALSE,"PROJECT";"Summary -2",#N/A,FALSE,"SUMMARY"}</definedName>
    <definedName name="_________a129" localSheetId="1" hidden="1">{"Offgrid",#N/A,FALSE,"OFFGRID";"Region",#N/A,FALSE,"REGION";"Offgrid -2",#N/A,FALSE,"OFFGRID";"WTP",#N/A,FALSE,"WTP";"WTP -2",#N/A,FALSE,"WTP";"Project",#N/A,FALSE,"PROJECT";"Summary -2",#N/A,FALSE,"SUMMARY"}</definedName>
    <definedName name="_________a129" hidden="1">{"Offgrid",#N/A,FALSE,"OFFGRID";"Region",#N/A,FALSE,"REGION";"Offgrid -2",#N/A,FALSE,"OFFGRID";"WTP",#N/A,FALSE,"WTP";"WTP -2",#N/A,FALSE,"WTP";"Project",#N/A,FALSE,"PROJECT";"Summary -2",#N/A,FALSE,"SUMMARY"}</definedName>
    <definedName name="_________a130" localSheetId="1" hidden="1">{"Offgrid",#N/A,FALSE,"OFFGRID";"Region",#N/A,FALSE,"REGION";"Offgrid -2",#N/A,FALSE,"OFFGRID";"WTP",#N/A,FALSE,"WTP";"WTP -2",#N/A,FALSE,"WTP";"Project",#N/A,FALSE,"PROJECT";"Summary -2",#N/A,FALSE,"SUMMARY"}</definedName>
    <definedName name="_________a130" hidden="1">{"Offgrid",#N/A,FALSE,"OFFGRID";"Region",#N/A,FALSE,"REGION";"Offgrid -2",#N/A,FALSE,"OFFGRID";"WTP",#N/A,FALSE,"WTP";"WTP -2",#N/A,FALSE,"WTP";"Project",#N/A,FALSE,"PROJECT";"Summary -2",#N/A,FALSE,"SUMMARY"}</definedName>
    <definedName name="________a129" localSheetId="1" hidden="1">{"Offgrid",#N/A,FALSE,"OFFGRID";"Region",#N/A,FALSE,"REGION";"Offgrid -2",#N/A,FALSE,"OFFGRID";"WTP",#N/A,FALSE,"WTP";"WTP -2",#N/A,FALSE,"WTP";"Project",#N/A,FALSE,"PROJECT";"Summary -2",#N/A,FALSE,"SUMMARY"}</definedName>
    <definedName name="________a129" hidden="1">{"Offgrid",#N/A,FALSE,"OFFGRID";"Region",#N/A,FALSE,"REGION";"Offgrid -2",#N/A,FALSE,"OFFGRID";"WTP",#N/A,FALSE,"WTP";"WTP -2",#N/A,FALSE,"WTP";"Project",#N/A,FALSE,"PROJECT";"Summary -2",#N/A,FALSE,"SUMMARY"}</definedName>
    <definedName name="________a130" localSheetId="1" hidden="1">{"Offgrid",#N/A,FALSE,"OFFGRID";"Region",#N/A,FALSE,"REGION";"Offgrid -2",#N/A,FALSE,"OFFGRID";"WTP",#N/A,FALSE,"WTP";"WTP -2",#N/A,FALSE,"WTP";"Project",#N/A,FALSE,"PROJECT";"Summary -2",#N/A,FALSE,"SUMMARY"}</definedName>
    <definedName name="________a130" hidden="1">{"Offgrid",#N/A,FALSE,"OFFGRID";"Region",#N/A,FALSE,"REGION";"Offgrid -2",#N/A,FALSE,"OFFGRID";"WTP",#N/A,FALSE,"WTP";"WTP -2",#N/A,FALSE,"WTP";"Project",#N/A,FALSE,"PROJECT";"Summary -2",#N/A,FALSE,"SUMMARY"}</definedName>
    <definedName name="_______a129" localSheetId="1" hidden="1">{"Offgrid",#N/A,FALSE,"OFFGRID";"Region",#N/A,FALSE,"REGION";"Offgrid -2",#N/A,FALSE,"OFFGRID";"WTP",#N/A,FALSE,"WTP";"WTP -2",#N/A,FALSE,"WTP";"Project",#N/A,FALSE,"PROJECT";"Summary -2",#N/A,FALSE,"SUMMARY"}</definedName>
    <definedName name="_______a129" hidden="1">{"Offgrid",#N/A,FALSE,"OFFGRID";"Region",#N/A,FALSE,"REGION";"Offgrid -2",#N/A,FALSE,"OFFGRID";"WTP",#N/A,FALSE,"WTP";"WTP -2",#N/A,FALSE,"WTP";"Project",#N/A,FALSE,"PROJECT";"Summary -2",#N/A,FALSE,"SUMMARY"}</definedName>
    <definedName name="_______a130" localSheetId="1" hidden="1">{"Offgrid",#N/A,FALSE,"OFFGRID";"Region",#N/A,FALSE,"REGION";"Offgrid -2",#N/A,FALSE,"OFFGRID";"WTP",#N/A,FALSE,"WTP";"WTP -2",#N/A,FALSE,"WTP";"Project",#N/A,FALSE,"PROJECT";"Summary -2",#N/A,FALSE,"SUMMARY"}</definedName>
    <definedName name="_______a130" hidden="1">{"Offgrid",#N/A,FALSE,"OFFGRID";"Region",#N/A,FALSE,"REGION";"Offgrid -2",#N/A,FALSE,"OFFGRID";"WTP",#N/A,FALSE,"WTP";"WTP -2",#N/A,FALSE,"WTP";"Project",#N/A,FALSE,"PROJECT";"Summary -2",#N/A,FALSE,"SUMMARY"}</definedName>
    <definedName name="______a129" localSheetId="1" hidden="1">{"Offgrid",#N/A,FALSE,"OFFGRID";"Region",#N/A,FALSE,"REGION";"Offgrid -2",#N/A,FALSE,"OFFGRID";"WTP",#N/A,FALSE,"WTP";"WTP -2",#N/A,FALSE,"WTP";"Project",#N/A,FALSE,"PROJECT";"Summary -2",#N/A,FALSE,"SUMMARY"}</definedName>
    <definedName name="______a129" hidden="1">{"Offgrid",#N/A,FALSE,"OFFGRID";"Region",#N/A,FALSE,"REGION";"Offgrid -2",#N/A,FALSE,"OFFGRID";"WTP",#N/A,FALSE,"WTP";"WTP -2",#N/A,FALSE,"WTP";"Project",#N/A,FALSE,"PROJECT";"Summary -2",#N/A,FALSE,"SUMMARY"}</definedName>
    <definedName name="______a130" localSheetId="1" hidden="1">{"Offgrid",#N/A,FALSE,"OFFGRID";"Region",#N/A,FALSE,"REGION";"Offgrid -2",#N/A,FALSE,"OFFGRID";"WTP",#N/A,FALSE,"WTP";"WTP -2",#N/A,FALSE,"WTP";"Project",#N/A,FALSE,"PROJECT";"Summary -2",#N/A,FALSE,"SUMMARY"}</definedName>
    <definedName name="______a130" hidden="1">{"Offgrid",#N/A,FALSE,"OFFGRID";"Region",#N/A,FALSE,"REGION";"Offgrid -2",#N/A,FALSE,"OFFGRID";"WTP",#N/A,FALSE,"WTP";"WTP -2",#N/A,FALSE,"WTP";"Project",#N/A,FALSE,"PROJECT";"Summary -2",#N/A,FALSE,"SUMMARY"}</definedName>
    <definedName name="_____a129" localSheetId="1" hidden="1">{"Offgrid",#N/A,FALSE,"OFFGRID";"Region",#N/A,FALSE,"REGION";"Offgrid -2",#N/A,FALSE,"OFFGRID";"WTP",#N/A,FALSE,"WTP";"WTP -2",#N/A,FALSE,"WTP";"Project",#N/A,FALSE,"PROJECT";"Summary -2",#N/A,FALSE,"SUMMARY"}</definedName>
    <definedName name="_____a129" hidden="1">{"Offgrid",#N/A,FALSE,"OFFGRID";"Region",#N/A,FALSE,"REGION";"Offgrid -2",#N/A,FALSE,"OFFGRID";"WTP",#N/A,FALSE,"WTP";"WTP -2",#N/A,FALSE,"WTP";"Project",#N/A,FALSE,"PROJECT";"Summary -2",#N/A,FALSE,"SUMMARY"}</definedName>
    <definedName name="_____a130" localSheetId="1" hidden="1">{"Offgrid",#N/A,FALSE,"OFFGRID";"Region",#N/A,FALSE,"REGION";"Offgrid -2",#N/A,FALSE,"OFFGRID";"WTP",#N/A,FALSE,"WTP";"WTP -2",#N/A,FALSE,"WTP";"Project",#N/A,FALSE,"PROJECT";"Summary -2",#N/A,FALSE,"SUMMARY"}</definedName>
    <definedName name="_____a130" hidden="1">{"Offgrid",#N/A,FALSE,"OFFGRID";"Region",#N/A,FALSE,"REGION";"Offgrid -2",#N/A,FALSE,"OFFGRID";"WTP",#N/A,FALSE,"WTP";"WTP -2",#N/A,FALSE,"WTP";"Project",#N/A,FALSE,"PROJECT";"Summary -2",#N/A,FALSE,"SUMMARY"}</definedName>
    <definedName name="___a129" localSheetId="1" hidden="1">{"Offgrid",#N/A,FALSE,"OFFGRID";"Region",#N/A,FALSE,"REGION";"Offgrid -2",#N/A,FALSE,"OFFGRID";"WTP",#N/A,FALSE,"WTP";"WTP -2",#N/A,FALSE,"WTP";"Project",#N/A,FALSE,"PROJECT";"Summary -2",#N/A,FALSE,"SUMMARY"}</definedName>
    <definedName name="___a129" hidden="1">{"Offgrid",#N/A,FALSE,"OFFGRID";"Region",#N/A,FALSE,"REGION";"Offgrid -2",#N/A,FALSE,"OFFGRID";"WTP",#N/A,FALSE,"WTP";"WTP -2",#N/A,FALSE,"WTP";"Project",#N/A,FALSE,"PROJECT";"Summary -2",#N/A,FALSE,"SUMMARY"}</definedName>
    <definedName name="___a130" localSheetId="1" hidden="1">{"Offgrid",#N/A,FALSE,"OFFGRID";"Region",#N/A,FALSE,"REGION";"Offgrid -2",#N/A,FALSE,"OFFGRID";"WTP",#N/A,FALSE,"WTP";"WTP -2",#N/A,FALSE,"WTP";"Project",#N/A,FALSE,"PROJECT";"Summary -2",#N/A,FALSE,"SUMMARY"}</definedName>
    <definedName name="___a130" hidden="1">{"Offgrid",#N/A,FALSE,"OFFGRID";"Region",#N/A,FALSE,"REGION";"Offgrid -2",#N/A,FALSE,"OFFGRID";"WTP",#N/A,FALSE,"WTP";"WTP -2",#N/A,FALSE,"WTP";"Project",#N/A,FALSE,"PROJECT";"Summary -2",#N/A,FALSE,"SUMMARY"}</definedName>
    <definedName name="__a129" localSheetId="1" hidden="1">{"Offgrid",#N/A,FALSE,"OFFGRID";"Region",#N/A,FALSE,"REGION";"Offgrid -2",#N/A,FALSE,"OFFGRID";"WTP",#N/A,FALSE,"WTP";"WTP -2",#N/A,FALSE,"WTP";"Project",#N/A,FALSE,"PROJECT";"Summary -2",#N/A,FALSE,"SUMMARY"}</definedName>
    <definedName name="__a129" hidden="1">{"Offgrid",#N/A,FALSE,"OFFGRID";"Region",#N/A,FALSE,"REGION";"Offgrid -2",#N/A,FALSE,"OFFGRID";"WTP",#N/A,FALSE,"WTP";"WTP -2",#N/A,FALSE,"WTP";"Project",#N/A,FALSE,"PROJECT";"Summary -2",#N/A,FALSE,"SUMMARY"}</definedName>
    <definedName name="__a130" localSheetId="1" hidden="1">{"Offgrid",#N/A,FALSE,"OFFGRID";"Region",#N/A,FALSE,"REGION";"Offgrid -2",#N/A,FALSE,"OFFGRID";"WTP",#N/A,FALSE,"WTP";"WTP -2",#N/A,FALSE,"WTP";"Project",#N/A,FALSE,"PROJECT";"Summary -2",#N/A,FALSE,"SUMMARY"}</definedName>
    <definedName name="__a130" hidden="1">{"Offgrid",#N/A,FALSE,"OFFGRID";"Region",#N/A,FALSE,"REGION";"Offgrid -2",#N/A,FALSE,"OFFGRID";"WTP",#N/A,FALSE,"WTP";"WTP -2",#N/A,FALSE,"WTP";"Project",#N/A,FALSE,"PROJECT";"Summary -2",#N/A,FALSE,"SUMMARY"}</definedName>
    <definedName name="_a129" localSheetId="1" hidden="1">{"Offgrid",#N/A,FALSE,"OFFGRID";"Region",#N/A,FALSE,"REGION";"Offgrid -2",#N/A,FALSE,"OFFGRID";"WTP",#N/A,FALSE,"WTP";"WTP -2",#N/A,FALSE,"WTP";"Project",#N/A,FALSE,"PROJECT";"Summary -2",#N/A,FALSE,"SUMMARY"}</definedName>
    <definedName name="_a129" hidden="1">{"Offgrid",#N/A,FALSE,"OFFGRID";"Region",#N/A,FALSE,"REGION";"Offgrid -2",#N/A,FALSE,"OFFGRID";"WTP",#N/A,FALSE,"WTP";"WTP -2",#N/A,FALSE,"WTP";"Project",#N/A,FALSE,"PROJECT";"Summary -2",#N/A,FALSE,"SUMMARY"}</definedName>
    <definedName name="_a130" localSheetId="1" hidden="1">{"Offgrid",#N/A,FALSE,"OFFGRID";"Region",#N/A,FALSE,"REGION";"Offgrid -2",#N/A,FALSE,"OFFGRID";"WTP",#N/A,FALSE,"WTP";"WTP -2",#N/A,FALSE,"WTP";"Project",#N/A,FALSE,"PROJECT";"Summary -2",#N/A,FALSE,"SUMMARY"}</definedName>
    <definedName name="_a130" hidden="1">{"Offgrid",#N/A,FALSE,"OFFGRID";"Region",#N/A,FALSE,"REGION";"Offgrid -2",#N/A,FALSE,"OFFGRID";"WTP",#N/A,FALSE,"WTP";"WTP -2",#N/A,FALSE,"WTP";"Project",#N/A,FALSE,"PROJECT";"Summary -2",#N/A,FALSE,"SUMMARY"}</definedName>
    <definedName name="_Fill" localSheetId="0" hidden="1">#REF!</definedName>
    <definedName name="_Fill" localSheetId="1" hidden="1">#REF!</definedName>
    <definedName name="_Fill" hidden="1">#REF!</definedName>
    <definedName name="_xlnm._FilterDatabase" localSheetId="0" hidden="1">' LT 6.25(2340k)'!$A$8:$AC$63</definedName>
    <definedName name="_xlnm._FilterDatabase" localSheetId="1" hidden="1">' LT 7.25(2340k)'!$A$8:$AC$63</definedName>
    <definedName name="_xlnm._FilterDatabase" hidden="1">#REF!</definedName>
    <definedName name="_Key1" localSheetId="0" hidden="1">#REF!</definedName>
    <definedName name="_Key1" localSheetId="1" hidden="1">#REF!</definedName>
    <definedName name="_Key1" hidden="1">#REF!</definedName>
    <definedName name="_Key2" localSheetId="0" hidden="1">#REF!</definedName>
    <definedName name="_Key2" localSheetId="1" hidden="1">#REF!</definedName>
    <definedName name="_Key2" hidden="1">#REF!</definedName>
    <definedName name="_Order1" hidden="1">255</definedName>
    <definedName name="_Order2" hidden="1">255</definedName>
    <definedName name="_Sort" localSheetId="0" hidden="1">#REF!</definedName>
    <definedName name="_Sort" localSheetId="1" hidden="1">#REF!</definedName>
    <definedName name="_Sort" hidden="1">#REF!</definedName>
    <definedName name="anscount" hidden="1">1</definedName>
    <definedName name="AST8.23" localSheetId="0" hidden="1">#REF!</definedName>
    <definedName name="AST8.23" localSheetId="1" hidden="1">#REF!</definedName>
    <definedName name="AST8.23" hidden="1">#REF!</definedName>
    <definedName name="Bgiang" localSheetId="1" hidden="1">{"'Sheet1'!$L$16"}</definedName>
    <definedName name="Bgiang" hidden="1">{"'Sheet1'!$L$16"}</definedName>
    <definedName name="data" localSheetId="0">#REF!</definedName>
    <definedName name="data" localSheetId="1">#REF!</definedName>
    <definedName name="data">#REF!</definedName>
    <definedName name="EX" localSheetId="0">#REF!</definedName>
    <definedName name="EX" localSheetId="1">#REF!</definedName>
    <definedName name="EX">#REF!</definedName>
    <definedName name="EXC" localSheetId="0">#REF!</definedName>
    <definedName name="EXC" localSheetId="1">#REF!</definedName>
    <definedName name="EXC">#REF!</definedName>
    <definedName name="EXCH" localSheetId="0">#REF!</definedName>
    <definedName name="EXCH" localSheetId="1">#REF!</definedName>
    <definedName name="EXCH">#REF!</definedName>
    <definedName name="fff" localSheetId="1" hidden="1">{"'Sheet1'!$L$16"}</definedName>
    <definedName name="fff" hidden="1">{"'Sheet1'!$L$16"}</definedName>
    <definedName name="g" localSheetId="1" hidden="1">{"'Sheet1'!$L$16"}</definedName>
    <definedName name="g" hidden="1">{"'Sheet1'!$L$16"}</definedName>
    <definedName name="h" localSheetId="1" hidden="1">{"'Sheet1'!$L$16"}</definedName>
    <definedName name="h" hidden="1">{"'Sheet1'!$L$16"}</definedName>
    <definedName name="HTML_CodePage" hidden="1">950</definedName>
    <definedName name="HTML_Control" localSheetId="0" hidden="1">{"'Sheet1'!$L$16"}</definedName>
    <definedName name="HTML_Control" localSheetId="1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1" hidden="1">{"'Sheet1'!$L$16"}</definedName>
    <definedName name="huy" hidden="1">{"'Sheet1'!$L$16"}</definedName>
    <definedName name="n" localSheetId="0" hidden="1">#REF!</definedName>
    <definedName name="n" localSheetId="1" hidden="1">#REF!</definedName>
    <definedName name="n" hidden="1">#REF!</definedName>
    <definedName name="n." localSheetId="0" hidden="1">#REF!</definedName>
    <definedName name="n." localSheetId="1" hidden="1">#REF!</definedName>
    <definedName name="n." hidden="1">#REF!</definedName>
    <definedName name="sencount" hidden="1">2</definedName>
    <definedName name="Sheet1" localSheetId="0">#REF!</definedName>
    <definedName name="Sheet1" localSheetId="1">#REF!</definedName>
    <definedName name="Sheet1">#REF!</definedName>
    <definedName name="sheet2" localSheetId="0">#REF!</definedName>
    <definedName name="sheet2" localSheetId="1">#REF!</definedName>
    <definedName name="sheet2">#REF!</definedName>
    <definedName name="THDT_CT_XOM_NOI" localSheetId="0">'[4]Du Toan'!#REF!</definedName>
    <definedName name="THDT_CT_XOM_NOI" localSheetId="1">'[4]Du Toan'!#REF!</definedName>
    <definedName name="THDT_CT_XOM_NOI">'[4]Du Toan'!#REF!</definedName>
    <definedName name="THDT_HT_DAO_THUONG" localSheetId="0">#REF!</definedName>
    <definedName name="THDT_HT_DAO_THUONG" localSheetId="1">#REF!</definedName>
    <definedName name="THDT_HT_DAO_THUONG">#REF!</definedName>
    <definedName name="THDT_HT_XOM_NOI" localSheetId="0">#REF!</definedName>
    <definedName name="THDT_HT_XOM_NOI" localSheetId="1">#REF!</definedName>
    <definedName name="THDT_HT_XOM_NOI">#REF!</definedName>
    <definedName name="THDT_NPP_XOM_NOI" localSheetId="0">#REF!</definedName>
    <definedName name="THDT_NPP_XOM_NOI" localSheetId="1">#REF!</definedName>
    <definedName name="THDT_NPP_XOM_NOI">#REF!</definedName>
    <definedName name="THDT_TBA_XOM_NOI" localSheetId="0">#REF!</definedName>
    <definedName name="THDT_TBA_XOM_NOI" localSheetId="1">#REF!</definedName>
    <definedName name="THDT_TBA_XOM_NOI">#REF!</definedName>
    <definedName name="thoa" localSheetId="0" hidden="1">#REF!</definedName>
    <definedName name="thoa" localSheetId="1" hidden="1">#REF!</definedName>
    <definedName name="thoa" hidden="1">#REF!</definedName>
    <definedName name="wrn.chi._.tiÆt." localSheetId="0" hidden="1">{#N/A,#N/A,FALSE,"Chi tiÆt"}</definedName>
    <definedName name="wrn.chi._.tiÆt." localSheetId="1" hidden="1">{#N/A,#N/A,FALSE,"Chi tiÆt"}</definedName>
    <definedName name="wrn.chi._.tiÆt." hidden="1">{#N/A,#N/A,FALSE,"Chi tiÆt"}</definedName>
    <definedName name="wrn.Report." localSheetId="1" hidden="1">{"Offgrid",#N/A,FALSE,"OFFGRID";"Region",#N/A,FALSE,"REGION";"Offgrid -2",#N/A,FALSE,"OFFGRID";"WTP",#N/A,FALSE,"WTP";"WTP -2",#N/A,FALSE,"WTP";"Project",#N/A,FALSE,"PROJECT";"Summary -2",#N/A,FALSE,"SUMMARY"}</definedName>
    <definedName name="wrn.Report." hidden="1">{"Offgrid",#N/A,FALSE,"OFFGRID";"Region",#N/A,FALSE,"REGION";"Offgrid -2",#N/A,FALSE,"OFFGRID";"WTP",#N/A,FALSE,"WTP";"WTP -2",#N/A,FALSE,"WTP";"Project",#N/A,FALSE,"PROJECT";"Summary -2",#N/A,FALSE,"SUMMARY"}</definedName>
    <definedName name="wrnf.report" localSheetId="1" hidden="1">{"Offgrid",#N/A,FALSE,"OFFGRID";"Region",#N/A,FALSE,"REGION";"Offgrid -2",#N/A,FALSE,"OFFGRID";"WTP",#N/A,FALSE,"WTP";"WTP -2",#N/A,FALSE,"WTP";"Project",#N/A,FALSE,"PROJECT";"Summary -2",#N/A,FALSE,"SUMMARY"}</definedName>
    <definedName name="wrnf.report" hidden="1">{"Offgrid",#N/A,FALSE,"OFFGRID";"Region",#N/A,FALSE,"REGION";"Offgrid -2",#N/A,FALSE,"OFFGRID";"WTP",#N/A,FALSE,"WTP";"WTP -2",#N/A,FALSE,"WTP";"Project",#N/A,FALSE,"PROJECT";"Summary -2",#N/A,FALSE,"SUMMARY"}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Y126" i="2" l="1"/>
  <c r="Z125" i="2"/>
  <c r="AA126" i="2" s="1"/>
  <c r="Y121" i="2"/>
  <c r="Y122" i="2" s="1"/>
  <c r="AC108" i="2"/>
  <c r="Z108" i="2"/>
  <c r="V89" i="2"/>
  <c r="V90" i="2" s="1"/>
  <c r="AB76" i="2"/>
  <c r="AD65" i="2"/>
  <c r="AE63" i="2"/>
  <c r="AB63" i="2"/>
  <c r="W62" i="2"/>
  <c r="I62" i="2"/>
  <c r="A62" i="2"/>
  <c r="AE61" i="2"/>
  <c r="AB61" i="2"/>
  <c r="AE60" i="2"/>
  <c r="AB60" i="2"/>
  <c r="Z59" i="2"/>
  <c r="W59" i="2"/>
  <c r="S59" i="2"/>
  <c r="Q59" i="2"/>
  <c r="O59" i="2"/>
  <c r="N59" i="2"/>
  <c r="AB59" i="2" s="1"/>
  <c r="M59" i="2"/>
  <c r="L59" i="2"/>
  <c r="K59" i="2"/>
  <c r="J59" i="2"/>
  <c r="I59" i="2"/>
  <c r="H59" i="2"/>
  <c r="F59" i="2"/>
  <c r="AA58" i="2"/>
  <c r="AA59" i="2" s="1"/>
  <c r="Z58" i="2"/>
  <c r="Y58" i="2"/>
  <c r="Y59" i="2" s="1"/>
  <c r="T58" i="2"/>
  <c r="V58" i="2" s="1"/>
  <c r="V59" i="2" s="1"/>
  <c r="S58" i="2"/>
  <c r="R58" i="2"/>
  <c r="R59" i="2" s="1"/>
  <c r="P58" i="2"/>
  <c r="P59" i="2" s="1"/>
  <c r="O58" i="2"/>
  <c r="N58" i="2"/>
  <c r="U58" i="2" s="1"/>
  <c r="AE57" i="2"/>
  <c r="AB57" i="2"/>
  <c r="O56" i="2"/>
  <c r="M56" i="2"/>
  <c r="L56" i="2"/>
  <c r="K56" i="2"/>
  <c r="J56" i="2"/>
  <c r="I56" i="2"/>
  <c r="H56" i="2"/>
  <c r="G56" i="2"/>
  <c r="F56" i="2"/>
  <c r="S55" i="2"/>
  <c r="R55" i="2"/>
  <c r="Q55" i="2"/>
  <c r="P55" i="2"/>
  <c r="O55" i="2"/>
  <c r="N55" i="2"/>
  <c r="AA55" i="2" s="1"/>
  <c r="S54" i="2"/>
  <c r="R54" i="2"/>
  <c r="Q54" i="2"/>
  <c r="P54" i="2"/>
  <c r="O54" i="2"/>
  <c r="N54" i="2"/>
  <c r="AC54" i="2" s="1"/>
  <c r="U53" i="2"/>
  <c r="AE53" i="2" s="1"/>
  <c r="T53" i="2"/>
  <c r="V53" i="2" s="1"/>
  <c r="S53" i="2"/>
  <c r="R53" i="2"/>
  <c r="Q53" i="2"/>
  <c r="P53" i="2"/>
  <c r="O53" i="2"/>
  <c r="N53" i="2"/>
  <c r="AC53" i="2" s="1"/>
  <c r="AA52" i="2"/>
  <c r="Z52" i="2"/>
  <c r="Y52" i="2"/>
  <c r="T52" i="2"/>
  <c r="S52" i="2"/>
  <c r="R52" i="2"/>
  <c r="Q52" i="2"/>
  <c r="P52" i="2"/>
  <c r="O52" i="2"/>
  <c r="N52" i="2"/>
  <c r="U52" i="2" s="1"/>
  <c r="AE52" i="2" s="1"/>
  <c r="AB51" i="2"/>
  <c r="S51" i="2"/>
  <c r="R51" i="2"/>
  <c r="Q51" i="2"/>
  <c r="P51" i="2"/>
  <c r="O51" i="2"/>
  <c r="N51" i="2"/>
  <c r="AA51" i="2" s="1"/>
  <c r="S50" i="2"/>
  <c r="R50" i="2"/>
  <c r="Q50" i="2"/>
  <c r="P50" i="2"/>
  <c r="O50" i="2"/>
  <c r="N50" i="2"/>
  <c r="AC50" i="2" s="1"/>
  <c r="U49" i="2"/>
  <c r="AE49" i="2" s="1"/>
  <c r="T49" i="2"/>
  <c r="V49" i="2" s="1"/>
  <c r="S49" i="2"/>
  <c r="R49" i="2"/>
  <c r="Q49" i="2"/>
  <c r="P49" i="2"/>
  <c r="O49" i="2"/>
  <c r="N49" i="2"/>
  <c r="AC49" i="2" s="1"/>
  <c r="AA48" i="2"/>
  <c r="Z48" i="2"/>
  <c r="Y48" i="2"/>
  <c r="T48" i="2"/>
  <c r="V48" i="2" s="1"/>
  <c r="S48" i="2"/>
  <c r="R48" i="2"/>
  <c r="Q48" i="2"/>
  <c r="P48" i="2"/>
  <c r="O48" i="2"/>
  <c r="N48" i="2"/>
  <c r="U48" i="2" s="1"/>
  <c r="AE48" i="2" s="1"/>
  <c r="AB47" i="2"/>
  <c r="S47" i="2"/>
  <c r="R47" i="2"/>
  <c r="Q47" i="2"/>
  <c r="P47" i="2"/>
  <c r="O47" i="2"/>
  <c r="N47" i="2"/>
  <c r="AA47" i="2" s="1"/>
  <c r="S46" i="2"/>
  <c r="S56" i="2" s="1"/>
  <c r="R46" i="2"/>
  <c r="R56" i="2" s="1"/>
  <c r="Q46" i="2"/>
  <c r="Q56" i="2" s="1"/>
  <c r="P46" i="2"/>
  <c r="P56" i="2" s="1"/>
  <c r="O46" i="2"/>
  <c r="N46" i="2"/>
  <c r="N56" i="2" s="1"/>
  <c r="AE45" i="2"/>
  <c r="AB45" i="2"/>
  <c r="L44" i="2"/>
  <c r="L62" i="2" s="1"/>
  <c r="J44" i="2"/>
  <c r="J62" i="2" s="1"/>
  <c r="I44" i="2"/>
  <c r="H44" i="2"/>
  <c r="H62" i="2" s="1"/>
  <c r="F44" i="2"/>
  <c r="F62" i="2" s="1"/>
  <c r="R43" i="2"/>
  <c r="Q43" i="2"/>
  <c r="P43" i="2"/>
  <c r="O43" i="2"/>
  <c r="AC72" i="2" s="1"/>
  <c r="V82" i="2" s="1"/>
  <c r="N43" i="2"/>
  <c r="AC43" i="2" s="1"/>
  <c r="M43" i="2"/>
  <c r="S43" i="2" s="1"/>
  <c r="R42" i="2"/>
  <c r="Q42" i="2"/>
  <c r="P42" i="2"/>
  <c r="O42" i="2"/>
  <c r="N42" i="2"/>
  <c r="M42" i="2"/>
  <c r="S42" i="2" s="1"/>
  <c r="AA42" i="2" s="1"/>
  <c r="S41" i="2"/>
  <c r="R41" i="2"/>
  <c r="T41" i="2" s="1"/>
  <c r="Q41" i="2"/>
  <c r="P41" i="2"/>
  <c r="O41" i="2"/>
  <c r="AC41" i="2" s="1"/>
  <c r="N41" i="2"/>
  <c r="AB41" i="2" s="1"/>
  <c r="M41" i="2"/>
  <c r="K41" i="2"/>
  <c r="Q40" i="2"/>
  <c r="P40" i="2"/>
  <c r="O40" i="2"/>
  <c r="N40" i="2"/>
  <c r="M40" i="2"/>
  <c r="S40" i="2" s="1"/>
  <c r="Z40" i="2" s="1"/>
  <c r="K40" i="2"/>
  <c r="R40" i="2" s="1"/>
  <c r="S39" i="2"/>
  <c r="R39" i="2"/>
  <c r="T39" i="2" s="1"/>
  <c r="Q39" i="2"/>
  <c r="P39" i="2"/>
  <c r="O39" i="2"/>
  <c r="AC39" i="2" s="1"/>
  <c r="N39" i="2"/>
  <c r="AB39" i="2" s="1"/>
  <c r="M39" i="2"/>
  <c r="K39" i="2"/>
  <c r="Q38" i="2"/>
  <c r="P38" i="2"/>
  <c r="O38" i="2"/>
  <c r="N38" i="2"/>
  <c r="M38" i="2"/>
  <c r="S38" i="2" s="1"/>
  <c r="Z38" i="2" s="1"/>
  <c r="K38" i="2"/>
  <c r="R38" i="2" s="1"/>
  <c r="S37" i="2"/>
  <c r="R37" i="2"/>
  <c r="Q37" i="2"/>
  <c r="P37" i="2"/>
  <c r="O37" i="2"/>
  <c r="AC37" i="2" s="1"/>
  <c r="N37" i="2"/>
  <c r="AB37" i="2" s="1"/>
  <c r="M37" i="2"/>
  <c r="K37" i="2"/>
  <c r="Q36" i="2"/>
  <c r="P36" i="2"/>
  <c r="O36" i="2"/>
  <c r="N36" i="2"/>
  <c r="M36" i="2"/>
  <c r="S36" i="2" s="1"/>
  <c r="Z36" i="2" s="1"/>
  <c r="K36" i="2"/>
  <c r="R36" i="2" s="1"/>
  <c r="S35" i="2"/>
  <c r="R35" i="2"/>
  <c r="Q35" i="2"/>
  <c r="P35" i="2"/>
  <c r="O35" i="2"/>
  <c r="AC35" i="2" s="1"/>
  <c r="N35" i="2"/>
  <c r="AB35" i="2" s="1"/>
  <c r="M35" i="2"/>
  <c r="K35" i="2"/>
  <c r="Q34" i="2"/>
  <c r="P34" i="2"/>
  <c r="O34" i="2"/>
  <c r="N34" i="2"/>
  <c r="M34" i="2"/>
  <c r="S34" i="2" s="1"/>
  <c r="Z34" i="2" s="1"/>
  <c r="K34" i="2"/>
  <c r="R34" i="2" s="1"/>
  <c r="S33" i="2"/>
  <c r="R33" i="2"/>
  <c r="T33" i="2" s="1"/>
  <c r="Q33" i="2"/>
  <c r="P33" i="2"/>
  <c r="O33" i="2"/>
  <c r="AC33" i="2" s="1"/>
  <c r="N33" i="2"/>
  <c r="AB33" i="2" s="1"/>
  <c r="M33" i="2"/>
  <c r="K33" i="2"/>
  <c r="Q32" i="2"/>
  <c r="P32" i="2"/>
  <c r="O32" i="2"/>
  <c r="N32" i="2"/>
  <c r="M32" i="2"/>
  <c r="S32" i="2" s="1"/>
  <c r="Z32" i="2" s="1"/>
  <c r="K32" i="2"/>
  <c r="R32" i="2" s="1"/>
  <c r="S31" i="2"/>
  <c r="R31" i="2"/>
  <c r="Q31" i="2"/>
  <c r="P31" i="2"/>
  <c r="O31" i="2"/>
  <c r="AC31" i="2" s="1"/>
  <c r="N31" i="2"/>
  <c r="AB31" i="2" s="1"/>
  <c r="M31" i="2"/>
  <c r="K31" i="2"/>
  <c r="Q30" i="2"/>
  <c r="P30" i="2"/>
  <c r="O30" i="2"/>
  <c r="N30" i="2"/>
  <c r="M30" i="2"/>
  <c r="S30" i="2" s="1"/>
  <c r="Z30" i="2" s="1"/>
  <c r="K30" i="2"/>
  <c r="R30" i="2" s="1"/>
  <c r="AC29" i="2"/>
  <c r="S29" i="2"/>
  <c r="R29" i="2"/>
  <c r="T29" i="2" s="1"/>
  <c r="Q29" i="2"/>
  <c r="P29" i="2"/>
  <c r="O29" i="2"/>
  <c r="AA29" i="2" s="1"/>
  <c r="N29" i="2"/>
  <c r="AB29" i="2" s="1"/>
  <c r="M29" i="2"/>
  <c r="K29" i="2"/>
  <c r="Q28" i="2"/>
  <c r="P28" i="2"/>
  <c r="O28" i="2"/>
  <c r="N28" i="2"/>
  <c r="Y28" i="2" s="1"/>
  <c r="M28" i="2"/>
  <c r="S28" i="2" s="1"/>
  <c r="K28" i="2"/>
  <c r="R28" i="2" s="1"/>
  <c r="S27" i="2"/>
  <c r="R27" i="2"/>
  <c r="T27" i="2" s="1"/>
  <c r="Q27" i="2"/>
  <c r="P27" i="2"/>
  <c r="O27" i="2"/>
  <c r="AC27" i="2" s="1"/>
  <c r="N27" i="2"/>
  <c r="AB27" i="2" s="1"/>
  <c r="M27" i="2"/>
  <c r="K27" i="2"/>
  <c r="Q26" i="2"/>
  <c r="P26" i="2"/>
  <c r="O26" i="2"/>
  <c r="N26" i="2"/>
  <c r="M26" i="2"/>
  <c r="S26" i="2" s="1"/>
  <c r="Z26" i="2" s="1"/>
  <c r="K26" i="2"/>
  <c r="R26" i="2" s="1"/>
  <c r="S25" i="2"/>
  <c r="R25" i="2"/>
  <c r="T25" i="2" s="1"/>
  <c r="Q25" i="2"/>
  <c r="P25" i="2"/>
  <c r="O25" i="2"/>
  <c r="AC25" i="2" s="1"/>
  <c r="N25" i="2"/>
  <c r="AB25" i="2" s="1"/>
  <c r="M25" i="2"/>
  <c r="K25" i="2"/>
  <c r="Q24" i="2"/>
  <c r="P24" i="2"/>
  <c r="O24" i="2"/>
  <c r="N24" i="2"/>
  <c r="Y24" i="2" s="1"/>
  <c r="M24" i="2"/>
  <c r="S24" i="2" s="1"/>
  <c r="K24" i="2"/>
  <c r="R24" i="2" s="1"/>
  <c r="S23" i="2"/>
  <c r="R23" i="2"/>
  <c r="T23" i="2" s="1"/>
  <c r="Q23" i="2"/>
  <c r="P23" i="2"/>
  <c r="O23" i="2"/>
  <c r="AC23" i="2" s="1"/>
  <c r="N23" i="2"/>
  <c r="AB23" i="2" s="1"/>
  <c r="M23" i="2"/>
  <c r="K23" i="2"/>
  <c r="Q22" i="2"/>
  <c r="P22" i="2"/>
  <c r="O22" i="2"/>
  <c r="N22" i="2"/>
  <c r="Y22" i="2" s="1"/>
  <c r="M22" i="2"/>
  <c r="S22" i="2" s="1"/>
  <c r="K22" i="2"/>
  <c r="R22" i="2" s="1"/>
  <c r="S21" i="2"/>
  <c r="R21" i="2"/>
  <c r="T21" i="2" s="1"/>
  <c r="Q21" i="2"/>
  <c r="P21" i="2"/>
  <c r="O21" i="2"/>
  <c r="AC21" i="2" s="1"/>
  <c r="N21" i="2"/>
  <c r="AB21" i="2" s="1"/>
  <c r="M21" i="2"/>
  <c r="K21" i="2"/>
  <c r="Q20" i="2"/>
  <c r="P20" i="2"/>
  <c r="O20" i="2"/>
  <c r="N20" i="2"/>
  <c r="M20" i="2"/>
  <c r="S20" i="2" s="1"/>
  <c r="K20" i="2"/>
  <c r="R20" i="2" s="1"/>
  <c r="S19" i="2"/>
  <c r="R19" i="2"/>
  <c r="T19" i="2" s="1"/>
  <c r="Q19" i="2"/>
  <c r="P19" i="2"/>
  <c r="O19" i="2"/>
  <c r="AC19" i="2" s="1"/>
  <c r="N19" i="2"/>
  <c r="AB19" i="2" s="1"/>
  <c r="M19" i="2"/>
  <c r="K19" i="2"/>
  <c r="Q18" i="2"/>
  <c r="P18" i="2"/>
  <c r="O18" i="2"/>
  <c r="N18" i="2"/>
  <c r="M18" i="2"/>
  <c r="S18" i="2" s="1"/>
  <c r="K18" i="2"/>
  <c r="R18" i="2" s="1"/>
  <c r="S17" i="2"/>
  <c r="R17" i="2"/>
  <c r="T17" i="2" s="1"/>
  <c r="Q17" i="2"/>
  <c r="P17" i="2"/>
  <c r="O17" i="2"/>
  <c r="AC17" i="2" s="1"/>
  <c r="N17" i="2"/>
  <c r="AB17" i="2" s="1"/>
  <c r="M17" i="2"/>
  <c r="K17" i="2"/>
  <c r="Q16" i="2"/>
  <c r="P16" i="2"/>
  <c r="O16" i="2"/>
  <c r="N16" i="2"/>
  <c r="Y16" i="2" s="1"/>
  <c r="M16" i="2"/>
  <c r="S16" i="2" s="1"/>
  <c r="K16" i="2"/>
  <c r="R16" i="2" s="1"/>
  <c r="S15" i="2"/>
  <c r="R15" i="2"/>
  <c r="T15" i="2" s="1"/>
  <c r="Q15" i="2"/>
  <c r="P15" i="2"/>
  <c r="O15" i="2"/>
  <c r="AC15" i="2" s="1"/>
  <c r="N15" i="2"/>
  <c r="AB15" i="2" s="1"/>
  <c r="M15" i="2"/>
  <c r="K15" i="2"/>
  <c r="Q14" i="2"/>
  <c r="P14" i="2"/>
  <c r="O14" i="2"/>
  <c r="N14" i="2"/>
  <c r="M14" i="2"/>
  <c r="S14" i="2" s="1"/>
  <c r="K14" i="2"/>
  <c r="R14" i="2" s="1"/>
  <c r="S13" i="2"/>
  <c r="R13" i="2"/>
  <c r="T13" i="2" s="1"/>
  <c r="Q13" i="2"/>
  <c r="P13" i="2"/>
  <c r="O13" i="2"/>
  <c r="AC13" i="2" s="1"/>
  <c r="N13" i="2"/>
  <c r="AB13" i="2" s="1"/>
  <c r="M13" i="2"/>
  <c r="K13" i="2"/>
  <c r="Q12" i="2"/>
  <c r="P12" i="2"/>
  <c r="O12" i="2"/>
  <c r="N12" i="2"/>
  <c r="Y12" i="2" s="1"/>
  <c r="M12" i="2"/>
  <c r="S12" i="2" s="1"/>
  <c r="K12" i="2"/>
  <c r="R12" i="2" s="1"/>
  <c r="S11" i="2"/>
  <c r="R11" i="2"/>
  <c r="T11" i="2" s="1"/>
  <c r="Q11" i="2"/>
  <c r="P11" i="2"/>
  <c r="O11" i="2"/>
  <c r="AC11" i="2" s="1"/>
  <c r="N11" i="2"/>
  <c r="AB11" i="2" s="1"/>
  <c r="M11" i="2"/>
  <c r="K11" i="2"/>
  <c r="A11" i="2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Q10" i="2"/>
  <c r="Q44" i="2" s="1"/>
  <c r="P10" i="2"/>
  <c r="P44" i="2" s="1"/>
  <c r="O10" i="2"/>
  <c r="O44" i="2" s="1"/>
  <c r="O62" i="2" s="1"/>
  <c r="Z72" i="2" s="1"/>
  <c r="Z85" i="2" s="1"/>
  <c r="N10" i="2"/>
  <c r="M10" i="2"/>
  <c r="S10" i="2" s="1"/>
  <c r="K10" i="2"/>
  <c r="R10" i="2" s="1"/>
  <c r="Y40" i="2" l="1"/>
  <c r="Z42" i="2"/>
  <c r="Y18" i="2"/>
  <c r="Z20" i="2"/>
  <c r="AB20" i="2"/>
  <c r="AA20" i="2"/>
  <c r="Y30" i="2"/>
  <c r="AC42" i="2"/>
  <c r="R44" i="2"/>
  <c r="AA10" i="2"/>
  <c r="S44" i="2"/>
  <c r="Z10" i="2"/>
  <c r="Y20" i="2"/>
  <c r="Y10" i="2"/>
  <c r="Z22" i="2"/>
  <c r="AA22" i="2"/>
  <c r="Y32" i="2"/>
  <c r="V25" i="2"/>
  <c r="V13" i="2"/>
  <c r="Z68" i="2"/>
  <c r="AC74" i="2"/>
  <c r="P62" i="2"/>
  <c r="AA12" i="2"/>
  <c r="Z12" i="2"/>
  <c r="Z24" i="2"/>
  <c r="AA24" i="2"/>
  <c r="Y34" i="2"/>
  <c r="T43" i="2"/>
  <c r="U43" i="2"/>
  <c r="AE43" i="2" s="1"/>
  <c r="AB56" i="2"/>
  <c r="AC67" i="2"/>
  <c r="V79" i="2" s="1"/>
  <c r="Z79" i="2" s="1"/>
  <c r="Y36" i="2"/>
  <c r="U59" i="2"/>
  <c r="AE59" i="2" s="1"/>
  <c r="AE58" i="2"/>
  <c r="AA18" i="2"/>
  <c r="Z18" i="2"/>
  <c r="Q62" i="2"/>
  <c r="Z83" i="2"/>
  <c r="Z70" i="2"/>
  <c r="Y26" i="2"/>
  <c r="V52" i="2"/>
  <c r="Z14" i="2"/>
  <c r="AA14" i="2"/>
  <c r="Y14" i="2"/>
  <c r="AA16" i="2"/>
  <c r="Z16" i="2"/>
  <c r="AB28" i="2"/>
  <c r="Z28" i="2"/>
  <c r="Y38" i="2"/>
  <c r="AA26" i="2"/>
  <c r="AA28" i="2"/>
  <c r="AA30" i="2"/>
  <c r="AA32" i="2"/>
  <c r="AA34" i="2"/>
  <c r="AA36" i="2"/>
  <c r="AA38" i="2"/>
  <c r="AA40" i="2"/>
  <c r="AB42" i="2"/>
  <c r="K44" i="2"/>
  <c r="K62" i="2" s="1"/>
  <c r="AC47" i="2"/>
  <c r="AC51" i="2"/>
  <c r="AC55" i="2"/>
  <c r="AB18" i="2"/>
  <c r="AB24" i="2"/>
  <c r="AB26" i="2"/>
  <c r="AB30" i="2"/>
  <c r="T31" i="2"/>
  <c r="V31" i="2" s="1"/>
  <c r="AB32" i="2"/>
  <c r="AB34" i="2"/>
  <c r="T35" i="2"/>
  <c r="V35" i="2" s="1"/>
  <c r="AB36" i="2"/>
  <c r="T37" i="2"/>
  <c r="V37" i="2" s="1"/>
  <c r="AB38" i="2"/>
  <c r="AB40" i="2"/>
  <c r="AB14" i="2"/>
  <c r="AB16" i="2"/>
  <c r="AB22" i="2"/>
  <c r="AC10" i="2"/>
  <c r="AC12" i="2"/>
  <c r="U13" i="2"/>
  <c r="AE13" i="2" s="1"/>
  <c r="AC14" i="2"/>
  <c r="U15" i="2"/>
  <c r="AE15" i="2" s="1"/>
  <c r="AC16" i="2"/>
  <c r="U17" i="2"/>
  <c r="AE17" i="2" s="1"/>
  <c r="AC18" i="2"/>
  <c r="AC20" i="2"/>
  <c r="U21" i="2"/>
  <c r="AE21" i="2" s="1"/>
  <c r="AC22" i="2"/>
  <c r="U23" i="2"/>
  <c r="AE23" i="2" s="1"/>
  <c r="AC24" i="2"/>
  <c r="U25" i="2"/>
  <c r="AE25" i="2" s="1"/>
  <c r="AC26" i="2"/>
  <c r="U27" i="2"/>
  <c r="AE27" i="2" s="1"/>
  <c r="AC28" i="2"/>
  <c r="U29" i="2"/>
  <c r="AE29" i="2" s="1"/>
  <c r="AC30" i="2"/>
  <c r="U31" i="2"/>
  <c r="AE31" i="2" s="1"/>
  <c r="AC32" i="2"/>
  <c r="U33" i="2"/>
  <c r="AE33" i="2" s="1"/>
  <c r="AC34" i="2"/>
  <c r="U35" i="2"/>
  <c r="AE35" i="2" s="1"/>
  <c r="AC36" i="2"/>
  <c r="U37" i="2"/>
  <c r="AE37" i="2" s="1"/>
  <c r="AC38" i="2"/>
  <c r="U39" i="2"/>
  <c r="AE39" i="2" s="1"/>
  <c r="AC40" i="2"/>
  <c r="U41" i="2"/>
  <c r="AE41" i="2" s="1"/>
  <c r="Y43" i="2"/>
  <c r="M44" i="2"/>
  <c r="T46" i="2"/>
  <c r="AB48" i="2"/>
  <c r="Y49" i="2"/>
  <c r="T50" i="2"/>
  <c r="AB52" i="2"/>
  <c r="Y53" i="2"/>
  <c r="T54" i="2"/>
  <c r="AB58" i="2"/>
  <c r="U11" i="2"/>
  <c r="AE11" i="2" s="1"/>
  <c r="U19" i="2"/>
  <c r="AE19" i="2" s="1"/>
  <c r="Z43" i="2"/>
  <c r="N44" i="2"/>
  <c r="U46" i="2"/>
  <c r="AC48" i="2"/>
  <c r="Z49" i="2"/>
  <c r="U50" i="2"/>
  <c r="AE50" i="2" s="1"/>
  <c r="AC52" i="2"/>
  <c r="Z53" i="2"/>
  <c r="U54" i="2"/>
  <c r="AE54" i="2" s="1"/>
  <c r="AC58" i="2"/>
  <c r="AC59" i="2" s="1"/>
  <c r="AC66" i="2"/>
  <c r="Y11" i="2"/>
  <c r="Y13" i="2"/>
  <c r="Y15" i="2"/>
  <c r="Y17" i="2"/>
  <c r="Y19" i="2"/>
  <c r="Y21" i="2"/>
  <c r="Y23" i="2"/>
  <c r="Y25" i="2"/>
  <c r="Y27" i="2"/>
  <c r="Y29" i="2"/>
  <c r="Y31" i="2"/>
  <c r="Y33" i="2"/>
  <c r="Y35" i="2"/>
  <c r="Y37" i="2"/>
  <c r="Y39" i="2"/>
  <c r="Y41" i="2"/>
  <c r="AA43" i="2"/>
  <c r="AA49" i="2"/>
  <c r="AA53" i="2"/>
  <c r="Z11" i="2"/>
  <c r="Z13" i="2"/>
  <c r="Z15" i="2"/>
  <c r="Z17" i="2"/>
  <c r="Z19" i="2"/>
  <c r="Z21" i="2"/>
  <c r="Z23" i="2"/>
  <c r="Z25" i="2"/>
  <c r="Z27" i="2"/>
  <c r="Z29" i="2"/>
  <c r="Z31" i="2"/>
  <c r="Z33" i="2"/>
  <c r="Z35" i="2"/>
  <c r="Z37" i="2"/>
  <c r="Z39" i="2"/>
  <c r="Z41" i="2"/>
  <c r="AB43" i="2"/>
  <c r="Y46" i="2"/>
  <c r="T47" i="2"/>
  <c r="V47" i="2" s="1"/>
  <c r="AB49" i="2"/>
  <c r="Y50" i="2"/>
  <c r="T51" i="2"/>
  <c r="AB53" i="2"/>
  <c r="Y54" i="2"/>
  <c r="T55" i="2"/>
  <c r="AB12" i="2"/>
  <c r="AA11" i="2"/>
  <c r="AA13" i="2"/>
  <c r="AA15" i="2"/>
  <c r="AA17" i="2"/>
  <c r="AA19" i="2"/>
  <c r="AA21" i="2"/>
  <c r="AA23" i="2"/>
  <c r="AA25" i="2"/>
  <c r="AA27" i="2"/>
  <c r="AA31" i="2"/>
  <c r="AA33" i="2"/>
  <c r="AA35" i="2"/>
  <c r="AA37" i="2"/>
  <c r="AA39" i="2"/>
  <c r="AA41" i="2"/>
  <c r="T42" i="2"/>
  <c r="Z46" i="2"/>
  <c r="U47" i="2"/>
  <c r="AE47" i="2" s="1"/>
  <c r="Z50" i="2"/>
  <c r="U51" i="2"/>
  <c r="AE51" i="2" s="1"/>
  <c r="Z54" i="2"/>
  <c r="U55" i="2"/>
  <c r="AE55" i="2" s="1"/>
  <c r="T59" i="2"/>
  <c r="T10" i="2"/>
  <c r="T12" i="2"/>
  <c r="V12" i="2" s="1"/>
  <c r="T14" i="2"/>
  <c r="V14" i="2" s="1"/>
  <c r="T16" i="2"/>
  <c r="V16" i="2" s="1"/>
  <c r="T18" i="2"/>
  <c r="T20" i="2"/>
  <c r="V20" i="2" s="1"/>
  <c r="T22" i="2"/>
  <c r="T24" i="2"/>
  <c r="T26" i="2"/>
  <c r="V26" i="2" s="1"/>
  <c r="T28" i="2"/>
  <c r="T30" i="2"/>
  <c r="T32" i="2"/>
  <c r="T34" i="2"/>
  <c r="T36" i="2"/>
  <c r="V36" i="2" s="1"/>
  <c r="T38" i="2"/>
  <c r="T40" i="2"/>
  <c r="V40" i="2" s="1"/>
  <c r="U42" i="2"/>
  <c r="AE42" i="2" s="1"/>
  <c r="AA46" i="2"/>
  <c r="AA56" i="2" s="1"/>
  <c r="AA50" i="2"/>
  <c r="AA54" i="2"/>
  <c r="U10" i="2"/>
  <c r="U16" i="2"/>
  <c r="AE16" i="2" s="1"/>
  <c r="U24" i="2"/>
  <c r="AE24" i="2" s="1"/>
  <c r="U26" i="2"/>
  <c r="AE26" i="2" s="1"/>
  <c r="U28" i="2"/>
  <c r="AE28" i="2" s="1"/>
  <c r="U30" i="2"/>
  <c r="AE30" i="2" s="1"/>
  <c r="U32" i="2"/>
  <c r="AE32" i="2" s="1"/>
  <c r="U34" i="2"/>
  <c r="AE34" i="2" s="1"/>
  <c r="U36" i="2"/>
  <c r="AE36" i="2" s="1"/>
  <c r="U38" i="2"/>
  <c r="AE38" i="2" s="1"/>
  <c r="U40" i="2"/>
  <c r="AE40" i="2" s="1"/>
  <c r="AB46" i="2"/>
  <c r="Y47" i="2"/>
  <c r="AB50" i="2"/>
  <c r="Y51" i="2"/>
  <c r="AB54" i="2"/>
  <c r="Y55" i="2"/>
  <c r="AB55" i="2"/>
  <c r="U20" i="2"/>
  <c r="AE20" i="2" s="1"/>
  <c r="Y42" i="2"/>
  <c r="AC46" i="2"/>
  <c r="Z47" i="2"/>
  <c r="Z51" i="2"/>
  <c r="Z55" i="2"/>
  <c r="AB10" i="2"/>
  <c r="U12" i="2"/>
  <c r="AE12" i="2" s="1"/>
  <c r="U14" i="2"/>
  <c r="AE14" i="2" s="1"/>
  <c r="U18" i="2"/>
  <c r="AE18" i="2" s="1"/>
  <c r="U22" i="2"/>
  <c r="AE22" i="2" s="1"/>
  <c r="V54" i="2" l="1"/>
  <c r="V43" i="2"/>
  <c r="V21" i="2"/>
  <c r="R62" i="2"/>
  <c r="Z69" i="2" s="1"/>
  <c r="Z81" i="2"/>
  <c r="V78" i="2"/>
  <c r="V34" i="2"/>
  <c r="V10" i="2"/>
  <c r="V44" i="2" s="1"/>
  <c r="V62" i="2" s="1"/>
  <c r="T44" i="2"/>
  <c r="V17" i="2"/>
  <c r="V19" i="2"/>
  <c r="AA44" i="2"/>
  <c r="AA62" i="2" s="1"/>
  <c r="V32" i="2"/>
  <c r="V55" i="2"/>
  <c r="AC44" i="2"/>
  <c r="AC62" i="2" s="1"/>
  <c r="V33" i="2"/>
  <c r="V30" i="2"/>
  <c r="V50" i="2"/>
  <c r="V28" i="2"/>
  <c r="U44" i="2"/>
  <c r="AE10" i="2"/>
  <c r="V39" i="2"/>
  <c r="Y44" i="2"/>
  <c r="S62" i="2"/>
  <c r="V38" i="2"/>
  <c r="V24" i="2"/>
  <c r="AE46" i="2"/>
  <c r="U56" i="2"/>
  <c r="AE56" i="2" s="1"/>
  <c r="T56" i="2"/>
  <c r="V46" i="2"/>
  <c r="V56" i="2" s="1"/>
  <c r="V29" i="2"/>
  <c r="V51" i="2"/>
  <c r="V22" i="2"/>
  <c r="N62" i="2"/>
  <c r="AB44" i="2"/>
  <c r="AB62" i="2" s="1"/>
  <c r="Z66" i="2"/>
  <c r="AC71" i="2"/>
  <c r="V81" i="2" s="1"/>
  <c r="Z84" i="2" s="1"/>
  <c r="M62" i="2"/>
  <c r="V41" i="2"/>
  <c r="V11" i="2"/>
  <c r="V27" i="2"/>
  <c r="Z67" i="2"/>
  <c r="V23" i="2"/>
  <c r="Z56" i="2"/>
  <c r="AC56" i="2"/>
  <c r="AC63" i="2" s="1"/>
  <c r="V18" i="2"/>
  <c r="V42" i="2"/>
  <c r="Y56" i="2"/>
  <c r="V15" i="2"/>
  <c r="Z44" i="2"/>
  <c r="Z62" i="2" s="1"/>
  <c r="C63" i="2"/>
  <c r="AD66" i="2" l="1"/>
  <c r="AE66" i="2"/>
  <c r="Y62" i="2"/>
  <c r="AC68" i="2"/>
  <c r="AC73" i="2"/>
  <c r="AC70" i="2"/>
  <c r="V85" i="2" s="1"/>
  <c r="AC69" i="2"/>
  <c r="V84" i="2" s="1"/>
  <c r="Z71" i="2"/>
  <c r="Z76" i="2" s="1"/>
  <c r="Z78" i="2"/>
  <c r="AE44" i="2"/>
  <c r="U62" i="2"/>
  <c r="T62" i="2"/>
  <c r="Z129" i="2" l="1"/>
  <c r="AC81" i="2"/>
  <c r="V83" i="2"/>
  <c r="AC76" i="2"/>
  <c r="V80" i="2" s="1"/>
  <c r="AA63" i="2"/>
  <c r="AE62" i="2"/>
  <c r="Z80" i="2" l="1"/>
  <c r="Z86" i="2" s="1"/>
  <c r="V86" i="2"/>
  <c r="AC77" i="2"/>
  <c r="AC110" i="2" l="1"/>
  <c r="AA89" i="2"/>
  <c r="Z114" i="2"/>
  <c r="Z110" i="2"/>
  <c r="Z88" i="2"/>
  <c r="Z117" i="2" l="1"/>
  <c r="AA114" i="2"/>
  <c r="Y126" i="1" l="1"/>
  <c r="Z125" i="1"/>
  <c r="AA126" i="1" s="1"/>
  <c r="Y121" i="1"/>
  <c r="Y122" i="1" s="1"/>
  <c r="AC108" i="1"/>
  <c r="Z108" i="1"/>
  <c r="V89" i="1"/>
  <c r="V90" i="1" s="1"/>
  <c r="AB76" i="1"/>
  <c r="AD65" i="1"/>
  <c r="AE63" i="1"/>
  <c r="AB63" i="1"/>
  <c r="W62" i="1"/>
  <c r="I62" i="1"/>
  <c r="A62" i="1"/>
  <c r="AE61" i="1"/>
  <c r="AB61" i="1"/>
  <c r="AE60" i="1"/>
  <c r="AB60" i="1"/>
  <c r="Z59" i="1"/>
  <c r="W59" i="1"/>
  <c r="S59" i="1"/>
  <c r="R59" i="1"/>
  <c r="Q59" i="1"/>
  <c r="O59" i="1"/>
  <c r="N59" i="1"/>
  <c r="M59" i="1"/>
  <c r="L59" i="1"/>
  <c r="K59" i="1"/>
  <c r="J59" i="1"/>
  <c r="I59" i="1"/>
  <c r="H59" i="1"/>
  <c r="F59" i="1"/>
  <c r="Z58" i="1"/>
  <c r="Y58" i="1"/>
  <c r="Y59" i="1" s="1"/>
  <c r="S58" i="1"/>
  <c r="R58" i="1"/>
  <c r="P58" i="1"/>
  <c r="T58" i="1" s="1"/>
  <c r="O58" i="1"/>
  <c r="N58" i="1"/>
  <c r="U58" i="1" s="1"/>
  <c r="AE57" i="1"/>
  <c r="AB57" i="1"/>
  <c r="O56" i="1"/>
  <c r="M56" i="1"/>
  <c r="L56" i="1"/>
  <c r="K56" i="1"/>
  <c r="J56" i="1"/>
  <c r="I56" i="1"/>
  <c r="H56" i="1"/>
  <c r="G56" i="1"/>
  <c r="F56" i="1"/>
  <c r="S55" i="1"/>
  <c r="R55" i="1"/>
  <c r="Q55" i="1"/>
  <c r="P55" i="1"/>
  <c r="O55" i="1"/>
  <c r="N55" i="1"/>
  <c r="AA55" i="1" s="1"/>
  <c r="Y54" i="1"/>
  <c r="S54" i="1"/>
  <c r="R54" i="1"/>
  <c r="Q54" i="1"/>
  <c r="T54" i="1" s="1"/>
  <c r="P54" i="1"/>
  <c r="O54" i="1"/>
  <c r="N54" i="1"/>
  <c r="AC54" i="1" s="1"/>
  <c r="U53" i="1"/>
  <c r="AE53" i="1" s="1"/>
  <c r="T53" i="1"/>
  <c r="V53" i="1" s="1"/>
  <c r="S53" i="1"/>
  <c r="R53" i="1"/>
  <c r="Q53" i="1"/>
  <c r="P53" i="1"/>
  <c r="O53" i="1"/>
  <c r="N53" i="1"/>
  <c r="AC53" i="1" s="1"/>
  <c r="AA52" i="1"/>
  <c r="Z52" i="1"/>
  <c r="Y52" i="1"/>
  <c r="S52" i="1"/>
  <c r="R52" i="1"/>
  <c r="Q52" i="1"/>
  <c r="P52" i="1"/>
  <c r="O52" i="1"/>
  <c r="N52" i="1"/>
  <c r="U52" i="1" s="1"/>
  <c r="AE52" i="1" s="1"/>
  <c r="S51" i="1"/>
  <c r="R51" i="1"/>
  <c r="Q51" i="1"/>
  <c r="P51" i="1"/>
  <c r="O51" i="1"/>
  <c r="N51" i="1"/>
  <c r="AA51" i="1" s="1"/>
  <c r="Y50" i="1"/>
  <c r="S50" i="1"/>
  <c r="R50" i="1"/>
  <c r="Q50" i="1"/>
  <c r="T50" i="1" s="1"/>
  <c r="P50" i="1"/>
  <c r="O50" i="1"/>
  <c r="N50" i="1"/>
  <c r="AC50" i="1" s="1"/>
  <c r="U49" i="1"/>
  <c r="AE49" i="1" s="1"/>
  <c r="T49" i="1"/>
  <c r="V49" i="1" s="1"/>
  <c r="S49" i="1"/>
  <c r="R49" i="1"/>
  <c r="Q49" i="1"/>
  <c r="P49" i="1"/>
  <c r="O49" i="1"/>
  <c r="N49" i="1"/>
  <c r="AC49" i="1" s="1"/>
  <c r="AA48" i="1"/>
  <c r="Z48" i="1"/>
  <c r="Y48" i="1"/>
  <c r="S48" i="1"/>
  <c r="R48" i="1"/>
  <c r="Q48" i="1"/>
  <c r="P48" i="1"/>
  <c r="O48" i="1"/>
  <c r="N48" i="1"/>
  <c r="U48" i="1" s="1"/>
  <c r="AE48" i="1" s="1"/>
  <c r="S47" i="1"/>
  <c r="R47" i="1"/>
  <c r="Q47" i="1"/>
  <c r="P47" i="1"/>
  <c r="P56" i="1" s="1"/>
  <c r="O47" i="1"/>
  <c r="N47" i="1"/>
  <c r="AA47" i="1" s="1"/>
  <c r="Y46" i="1"/>
  <c r="S46" i="1"/>
  <c r="S56" i="1" s="1"/>
  <c r="R46" i="1"/>
  <c r="R56" i="1" s="1"/>
  <c r="Q46" i="1"/>
  <c r="T46" i="1" s="1"/>
  <c r="P46" i="1"/>
  <c r="O46" i="1"/>
  <c r="N46" i="1"/>
  <c r="N56" i="1" s="1"/>
  <c r="AE45" i="1"/>
  <c r="AB45" i="1"/>
  <c r="L44" i="1"/>
  <c r="L62" i="1" s="1"/>
  <c r="J44" i="1"/>
  <c r="J62" i="1" s="1"/>
  <c r="I44" i="1"/>
  <c r="H44" i="1"/>
  <c r="H62" i="1" s="1"/>
  <c r="F44" i="1"/>
  <c r="F62" i="1" s="1"/>
  <c r="R43" i="1"/>
  <c r="Q43" i="1"/>
  <c r="P43" i="1"/>
  <c r="O43" i="1"/>
  <c r="AC72" i="1" s="1"/>
  <c r="V82" i="1" s="1"/>
  <c r="N43" i="1"/>
  <c r="M43" i="1"/>
  <c r="S43" i="1" s="1"/>
  <c r="R42" i="1"/>
  <c r="Q42" i="1"/>
  <c r="P42" i="1"/>
  <c r="O42" i="1"/>
  <c r="N42" i="1"/>
  <c r="Z42" i="1" s="1"/>
  <c r="M42" i="1"/>
  <c r="S42" i="1" s="1"/>
  <c r="AA42" i="1" s="1"/>
  <c r="S41" i="1"/>
  <c r="Z41" i="1" s="1"/>
  <c r="R41" i="1"/>
  <c r="T41" i="1" s="1"/>
  <c r="Q41" i="1"/>
  <c r="P41" i="1"/>
  <c r="O41" i="1"/>
  <c r="AC41" i="1" s="1"/>
  <c r="N41" i="1"/>
  <c r="AB41" i="1" s="1"/>
  <c r="M41" i="1"/>
  <c r="K41" i="1"/>
  <c r="Q40" i="1"/>
  <c r="P40" i="1"/>
  <c r="O40" i="1"/>
  <c r="N40" i="1"/>
  <c r="M40" i="1"/>
  <c r="S40" i="1" s="1"/>
  <c r="K40" i="1"/>
  <c r="R40" i="1" s="1"/>
  <c r="S39" i="1"/>
  <c r="Z39" i="1" s="1"/>
  <c r="R39" i="1"/>
  <c r="T39" i="1" s="1"/>
  <c r="Q39" i="1"/>
  <c r="P39" i="1"/>
  <c r="O39" i="1"/>
  <c r="AC39" i="1" s="1"/>
  <c r="N39" i="1"/>
  <c r="AB39" i="1" s="1"/>
  <c r="M39" i="1"/>
  <c r="K39" i="1"/>
  <c r="Q38" i="1"/>
  <c r="P38" i="1"/>
  <c r="O38" i="1"/>
  <c r="N38" i="1"/>
  <c r="M38" i="1"/>
  <c r="S38" i="1" s="1"/>
  <c r="K38" i="1"/>
  <c r="R38" i="1" s="1"/>
  <c r="S37" i="1"/>
  <c r="Z37" i="1" s="1"/>
  <c r="R37" i="1"/>
  <c r="T37" i="1" s="1"/>
  <c r="Q37" i="1"/>
  <c r="P37" i="1"/>
  <c r="O37" i="1"/>
  <c r="AC37" i="1" s="1"/>
  <c r="N37" i="1"/>
  <c r="AB37" i="1" s="1"/>
  <c r="M37" i="1"/>
  <c r="K37" i="1"/>
  <c r="Q36" i="1"/>
  <c r="P36" i="1"/>
  <c r="O36" i="1"/>
  <c r="N36" i="1"/>
  <c r="M36" i="1"/>
  <c r="S36" i="1" s="1"/>
  <c r="K36" i="1"/>
  <c r="R36" i="1" s="1"/>
  <c r="S35" i="1"/>
  <c r="Z35" i="1" s="1"/>
  <c r="R35" i="1"/>
  <c r="T35" i="1" s="1"/>
  <c r="Q35" i="1"/>
  <c r="P35" i="1"/>
  <c r="O35" i="1"/>
  <c r="AC35" i="1" s="1"/>
  <c r="N35" i="1"/>
  <c r="AB35" i="1" s="1"/>
  <c r="M35" i="1"/>
  <c r="K35" i="1"/>
  <c r="Q34" i="1"/>
  <c r="P34" i="1"/>
  <c r="O34" i="1"/>
  <c r="N34" i="1"/>
  <c r="M34" i="1"/>
  <c r="S34" i="1" s="1"/>
  <c r="K34" i="1"/>
  <c r="R34" i="1" s="1"/>
  <c r="S33" i="1"/>
  <c r="Z33" i="1" s="1"/>
  <c r="R33" i="1"/>
  <c r="T33" i="1" s="1"/>
  <c r="Q33" i="1"/>
  <c r="P33" i="1"/>
  <c r="O33" i="1"/>
  <c r="AC33" i="1" s="1"/>
  <c r="N33" i="1"/>
  <c r="AB33" i="1" s="1"/>
  <c r="M33" i="1"/>
  <c r="K33" i="1"/>
  <c r="Q32" i="1"/>
  <c r="P32" i="1"/>
  <c r="O32" i="1"/>
  <c r="N32" i="1"/>
  <c r="M32" i="1"/>
  <c r="S32" i="1" s="1"/>
  <c r="K32" i="1"/>
  <c r="R32" i="1" s="1"/>
  <c r="S31" i="1"/>
  <c r="Z31" i="1" s="1"/>
  <c r="R31" i="1"/>
  <c r="T31" i="1" s="1"/>
  <c r="Q31" i="1"/>
  <c r="P31" i="1"/>
  <c r="O31" i="1"/>
  <c r="AC31" i="1" s="1"/>
  <c r="N31" i="1"/>
  <c r="AB31" i="1" s="1"/>
  <c r="M31" i="1"/>
  <c r="K31" i="1"/>
  <c r="Q30" i="1"/>
  <c r="P30" i="1"/>
  <c r="O30" i="1"/>
  <c r="N30" i="1"/>
  <c r="M30" i="1"/>
  <c r="S30" i="1" s="1"/>
  <c r="K30" i="1"/>
  <c r="R30" i="1" s="1"/>
  <c r="S29" i="1"/>
  <c r="Z29" i="1" s="1"/>
  <c r="R29" i="1"/>
  <c r="T29" i="1" s="1"/>
  <c r="Q29" i="1"/>
  <c r="P29" i="1"/>
  <c r="O29" i="1"/>
  <c r="AC29" i="1" s="1"/>
  <c r="N29" i="1"/>
  <c r="AB29" i="1" s="1"/>
  <c r="M29" i="1"/>
  <c r="K29" i="1"/>
  <c r="Q28" i="1"/>
  <c r="P28" i="1"/>
  <c r="O28" i="1"/>
  <c r="N28" i="1"/>
  <c r="M28" i="1"/>
  <c r="S28" i="1" s="1"/>
  <c r="K28" i="1"/>
  <c r="R28" i="1" s="1"/>
  <c r="S27" i="1"/>
  <c r="Z27" i="1" s="1"/>
  <c r="R27" i="1"/>
  <c r="T27" i="1" s="1"/>
  <c r="Q27" i="1"/>
  <c r="P27" i="1"/>
  <c r="O27" i="1"/>
  <c r="AC27" i="1" s="1"/>
  <c r="N27" i="1"/>
  <c r="AB27" i="1" s="1"/>
  <c r="M27" i="1"/>
  <c r="K27" i="1"/>
  <c r="Q26" i="1"/>
  <c r="P26" i="1"/>
  <c r="O26" i="1"/>
  <c r="N26" i="1"/>
  <c r="M26" i="1"/>
  <c r="S26" i="1" s="1"/>
  <c r="K26" i="1"/>
  <c r="R26" i="1" s="1"/>
  <c r="S25" i="1"/>
  <c r="Z25" i="1" s="1"/>
  <c r="R25" i="1"/>
  <c r="T25" i="1" s="1"/>
  <c r="Q25" i="1"/>
  <c r="P25" i="1"/>
  <c r="O25" i="1"/>
  <c r="AC25" i="1" s="1"/>
  <c r="N25" i="1"/>
  <c r="AB25" i="1" s="1"/>
  <c r="M25" i="1"/>
  <c r="K25" i="1"/>
  <c r="Q24" i="1"/>
  <c r="P24" i="1"/>
  <c r="O24" i="1"/>
  <c r="N24" i="1"/>
  <c r="Y24" i="1" s="1"/>
  <c r="M24" i="1"/>
  <c r="S24" i="1" s="1"/>
  <c r="K24" i="1"/>
  <c r="R24" i="1" s="1"/>
  <c r="S23" i="1"/>
  <c r="Z23" i="1" s="1"/>
  <c r="R23" i="1"/>
  <c r="T23" i="1" s="1"/>
  <c r="Q23" i="1"/>
  <c r="P23" i="1"/>
  <c r="O23" i="1"/>
  <c r="AC23" i="1" s="1"/>
  <c r="N23" i="1"/>
  <c r="AB23" i="1" s="1"/>
  <c r="M23" i="1"/>
  <c r="K23" i="1"/>
  <c r="Q22" i="1"/>
  <c r="P22" i="1"/>
  <c r="O22" i="1"/>
  <c r="N22" i="1"/>
  <c r="M22" i="1"/>
  <c r="S22" i="1" s="1"/>
  <c r="K22" i="1"/>
  <c r="R22" i="1" s="1"/>
  <c r="S21" i="1"/>
  <c r="AA21" i="1" s="1"/>
  <c r="R21" i="1"/>
  <c r="T21" i="1" s="1"/>
  <c r="Q21" i="1"/>
  <c r="P21" i="1"/>
  <c r="O21" i="1"/>
  <c r="AC21" i="1" s="1"/>
  <c r="N21" i="1"/>
  <c r="AB21" i="1" s="1"/>
  <c r="M21" i="1"/>
  <c r="K21" i="1"/>
  <c r="Q20" i="1"/>
  <c r="P20" i="1"/>
  <c r="O20" i="1"/>
  <c r="N20" i="1"/>
  <c r="M20" i="1"/>
  <c r="S20" i="1" s="1"/>
  <c r="K20" i="1"/>
  <c r="R20" i="1" s="1"/>
  <c r="S19" i="1"/>
  <c r="Z19" i="1" s="1"/>
  <c r="R19" i="1"/>
  <c r="T19" i="1" s="1"/>
  <c r="Q19" i="1"/>
  <c r="P19" i="1"/>
  <c r="O19" i="1"/>
  <c r="AC19" i="1" s="1"/>
  <c r="N19" i="1"/>
  <c r="AB19" i="1" s="1"/>
  <c r="M19" i="1"/>
  <c r="K19" i="1"/>
  <c r="Q18" i="1"/>
  <c r="P18" i="1"/>
  <c r="O18" i="1"/>
  <c r="N18" i="1"/>
  <c r="M18" i="1"/>
  <c r="S18" i="1" s="1"/>
  <c r="K18" i="1"/>
  <c r="R18" i="1" s="1"/>
  <c r="S17" i="1"/>
  <c r="Z17" i="1" s="1"/>
  <c r="R17" i="1"/>
  <c r="T17" i="1" s="1"/>
  <c r="Q17" i="1"/>
  <c r="P17" i="1"/>
  <c r="O17" i="1"/>
  <c r="AC17" i="1" s="1"/>
  <c r="N17" i="1"/>
  <c r="AB17" i="1" s="1"/>
  <c r="M17" i="1"/>
  <c r="K17" i="1"/>
  <c r="Q16" i="1"/>
  <c r="P16" i="1"/>
  <c r="O16" i="1"/>
  <c r="N16" i="1"/>
  <c r="M16" i="1"/>
  <c r="S16" i="1" s="1"/>
  <c r="K16" i="1"/>
  <c r="R16" i="1" s="1"/>
  <c r="S15" i="1"/>
  <c r="AC15" i="1" s="1"/>
  <c r="R15" i="1"/>
  <c r="T15" i="1" s="1"/>
  <c r="Q15" i="1"/>
  <c r="P15" i="1"/>
  <c r="O15" i="1"/>
  <c r="U15" i="1" s="1"/>
  <c r="AE15" i="1" s="1"/>
  <c r="N15" i="1"/>
  <c r="AB15" i="1" s="1"/>
  <c r="M15" i="1"/>
  <c r="K15" i="1"/>
  <c r="Q14" i="1"/>
  <c r="P14" i="1"/>
  <c r="O14" i="1"/>
  <c r="N14" i="1"/>
  <c r="M14" i="1"/>
  <c r="S14" i="1" s="1"/>
  <c r="K14" i="1"/>
  <c r="R14" i="1" s="1"/>
  <c r="S13" i="1"/>
  <c r="AA13" i="1" s="1"/>
  <c r="R13" i="1"/>
  <c r="T13" i="1" s="1"/>
  <c r="Q13" i="1"/>
  <c r="P13" i="1"/>
  <c r="O13" i="1"/>
  <c r="AC13" i="1" s="1"/>
  <c r="N13" i="1"/>
  <c r="AB13" i="1" s="1"/>
  <c r="M13" i="1"/>
  <c r="K13" i="1"/>
  <c r="Q12" i="1"/>
  <c r="P12" i="1"/>
  <c r="O12" i="1"/>
  <c r="N12" i="1"/>
  <c r="Y12" i="1" s="1"/>
  <c r="M12" i="1"/>
  <c r="S12" i="1" s="1"/>
  <c r="K12" i="1"/>
  <c r="R12" i="1" s="1"/>
  <c r="S11" i="1"/>
  <c r="AA11" i="1" s="1"/>
  <c r="R11" i="1"/>
  <c r="T11" i="1" s="1"/>
  <c r="Q11" i="1"/>
  <c r="P11" i="1"/>
  <c r="O11" i="1"/>
  <c r="N11" i="1"/>
  <c r="AC11" i="1" s="1"/>
  <c r="M11" i="1"/>
  <c r="K11" i="1"/>
  <c r="A11" i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Q10" i="1"/>
  <c r="Q44" i="1" s="1"/>
  <c r="P10" i="1"/>
  <c r="P44" i="1" s="1"/>
  <c r="O10" i="1"/>
  <c r="O44" i="1" s="1"/>
  <c r="O62" i="1" s="1"/>
  <c r="Z72" i="1" s="1"/>
  <c r="Z85" i="1" s="1"/>
  <c r="N10" i="1"/>
  <c r="Y10" i="1" s="1"/>
  <c r="M10" i="1"/>
  <c r="S10" i="1" s="1"/>
  <c r="K10" i="1"/>
  <c r="R10" i="1" s="1"/>
  <c r="AA14" i="1" l="1"/>
  <c r="Z14" i="1"/>
  <c r="Y26" i="1"/>
  <c r="Y38" i="1"/>
  <c r="V58" i="1"/>
  <c r="V59" i="1" s="1"/>
  <c r="T59" i="1"/>
  <c r="Z28" i="1"/>
  <c r="AA28" i="1"/>
  <c r="Z40" i="1"/>
  <c r="AA40" i="1"/>
  <c r="Y28" i="1"/>
  <c r="Y40" i="1"/>
  <c r="AA30" i="1"/>
  <c r="Z30" i="1"/>
  <c r="Y18" i="1"/>
  <c r="Y30" i="1"/>
  <c r="AA16" i="1"/>
  <c r="Z16" i="1"/>
  <c r="Z32" i="1"/>
  <c r="AA32" i="1"/>
  <c r="R44" i="1"/>
  <c r="Z20" i="1"/>
  <c r="AB20" i="1"/>
  <c r="AA20" i="1"/>
  <c r="AA10" i="1"/>
  <c r="S44" i="1"/>
  <c r="Z10" i="1"/>
  <c r="Y20" i="1"/>
  <c r="Y32" i="1"/>
  <c r="Z38" i="1"/>
  <c r="AA38" i="1"/>
  <c r="Y14" i="1"/>
  <c r="Y16" i="1"/>
  <c r="Z22" i="1"/>
  <c r="AA22" i="1"/>
  <c r="Z34" i="1"/>
  <c r="AA34" i="1"/>
  <c r="Y22" i="1"/>
  <c r="V25" i="1"/>
  <c r="Y34" i="1"/>
  <c r="V37" i="1"/>
  <c r="U43" i="1"/>
  <c r="AE43" i="1" s="1"/>
  <c r="T43" i="1"/>
  <c r="AA18" i="1"/>
  <c r="Z18" i="1"/>
  <c r="Z68" i="1"/>
  <c r="AC74" i="1"/>
  <c r="P62" i="1"/>
  <c r="Z12" i="1"/>
  <c r="AA12" i="1"/>
  <c r="Z24" i="1"/>
  <c r="AA24" i="1"/>
  <c r="Z36" i="1"/>
  <c r="AA36" i="1"/>
  <c r="AC43" i="1"/>
  <c r="AB56" i="1"/>
  <c r="AC67" i="1"/>
  <c r="V79" i="1" s="1"/>
  <c r="U59" i="1"/>
  <c r="AE59" i="1" s="1"/>
  <c r="AE58" i="1"/>
  <c r="Z26" i="1"/>
  <c r="AA26" i="1"/>
  <c r="Z83" i="1"/>
  <c r="Z70" i="1"/>
  <c r="V15" i="1"/>
  <c r="Y36" i="1"/>
  <c r="AB51" i="1"/>
  <c r="AB42" i="1"/>
  <c r="K44" i="1"/>
  <c r="K62" i="1" s="1"/>
  <c r="AC47" i="1"/>
  <c r="AC51" i="1"/>
  <c r="AC55" i="1"/>
  <c r="AB10" i="1"/>
  <c r="AB22" i="1"/>
  <c r="AB24" i="1"/>
  <c r="AB26" i="1"/>
  <c r="AB28" i="1"/>
  <c r="AB30" i="1"/>
  <c r="AB32" i="1"/>
  <c r="AB34" i="1"/>
  <c r="AB36" i="1"/>
  <c r="AB38" i="1"/>
  <c r="AB40" i="1"/>
  <c r="AC42" i="1"/>
  <c r="Q56" i="1"/>
  <c r="Z67" i="1" s="1"/>
  <c r="AA58" i="1"/>
  <c r="AA59" i="1" s="1"/>
  <c r="AB14" i="1"/>
  <c r="AB16" i="1"/>
  <c r="U13" i="1"/>
  <c r="AE13" i="1" s="1"/>
  <c r="AC14" i="1"/>
  <c r="AC16" i="1"/>
  <c r="U17" i="1"/>
  <c r="AE17" i="1" s="1"/>
  <c r="AC18" i="1"/>
  <c r="U19" i="1"/>
  <c r="AE19" i="1" s="1"/>
  <c r="AC20" i="1"/>
  <c r="U21" i="1"/>
  <c r="AE21" i="1" s="1"/>
  <c r="AC22" i="1"/>
  <c r="U23" i="1"/>
  <c r="AE23" i="1" s="1"/>
  <c r="AC24" i="1"/>
  <c r="U25" i="1"/>
  <c r="AE25" i="1" s="1"/>
  <c r="AC26" i="1"/>
  <c r="U27" i="1"/>
  <c r="AE27" i="1" s="1"/>
  <c r="AC28" i="1"/>
  <c r="U29" i="1"/>
  <c r="AE29" i="1" s="1"/>
  <c r="AC30" i="1"/>
  <c r="U31" i="1"/>
  <c r="AE31" i="1" s="1"/>
  <c r="AC32" i="1"/>
  <c r="U33" i="1"/>
  <c r="AE33" i="1" s="1"/>
  <c r="AC34" i="1"/>
  <c r="U35" i="1"/>
  <c r="AE35" i="1" s="1"/>
  <c r="AC36" i="1"/>
  <c r="U37" i="1"/>
  <c r="AE37" i="1" s="1"/>
  <c r="AC38" i="1"/>
  <c r="U39" i="1"/>
  <c r="AE39" i="1" s="1"/>
  <c r="AC40" i="1"/>
  <c r="U41" i="1"/>
  <c r="AE41" i="1" s="1"/>
  <c r="Y43" i="1"/>
  <c r="M44" i="1"/>
  <c r="AB48" i="1"/>
  <c r="Y49" i="1"/>
  <c r="Y56" i="1" s="1"/>
  <c r="AB52" i="1"/>
  <c r="Y53" i="1"/>
  <c r="AB58" i="1"/>
  <c r="P59" i="1"/>
  <c r="AB59" i="1" s="1"/>
  <c r="AB12" i="1"/>
  <c r="AB18" i="1"/>
  <c r="U11" i="1"/>
  <c r="AE11" i="1" s="1"/>
  <c r="AC12" i="1"/>
  <c r="Z43" i="1"/>
  <c r="N44" i="1"/>
  <c r="U46" i="1"/>
  <c r="AC48" i="1"/>
  <c r="Z49" i="1"/>
  <c r="U50" i="1"/>
  <c r="AE50" i="1" s="1"/>
  <c r="AC52" i="1"/>
  <c r="Z53" i="1"/>
  <c r="U54" i="1"/>
  <c r="AE54" i="1" s="1"/>
  <c r="AC58" i="1"/>
  <c r="AC59" i="1" s="1"/>
  <c r="AC66" i="1"/>
  <c r="AC10" i="1"/>
  <c r="Y11" i="1"/>
  <c r="Y44" i="1" s="1"/>
  <c r="Y13" i="1"/>
  <c r="Y15" i="1"/>
  <c r="Y17" i="1"/>
  <c r="Y19" i="1"/>
  <c r="Y21" i="1"/>
  <c r="Y23" i="1"/>
  <c r="Y25" i="1"/>
  <c r="Y27" i="1"/>
  <c r="Y29" i="1"/>
  <c r="Y31" i="1"/>
  <c r="Y33" i="1"/>
  <c r="Y35" i="1"/>
  <c r="Y37" i="1"/>
  <c r="Y39" i="1"/>
  <c r="Y41" i="1"/>
  <c r="AA43" i="1"/>
  <c r="AA49" i="1"/>
  <c r="AA53" i="1"/>
  <c r="Z13" i="1"/>
  <c r="Z21" i="1"/>
  <c r="AB43" i="1"/>
  <c r="T47" i="1"/>
  <c r="V47" i="1" s="1"/>
  <c r="AB49" i="1"/>
  <c r="T51" i="1"/>
  <c r="V51" i="1" s="1"/>
  <c r="AB53" i="1"/>
  <c r="T55" i="1"/>
  <c r="V55" i="1" s="1"/>
  <c r="AB55" i="1"/>
  <c r="AA15" i="1"/>
  <c r="AA17" i="1"/>
  <c r="AA19" i="1"/>
  <c r="AA23" i="1"/>
  <c r="AA25" i="1"/>
  <c r="AA27" i="1"/>
  <c r="AA29" i="1"/>
  <c r="AA31" i="1"/>
  <c r="AA33" i="1"/>
  <c r="AA35" i="1"/>
  <c r="AA37" i="1"/>
  <c r="AA39" i="1"/>
  <c r="AA41" i="1"/>
  <c r="T42" i="1"/>
  <c r="Z46" i="1"/>
  <c r="U47" i="1"/>
  <c r="AE47" i="1" s="1"/>
  <c r="Z50" i="1"/>
  <c r="U51" i="1"/>
  <c r="AE51" i="1" s="1"/>
  <c r="Z54" i="1"/>
  <c r="U55" i="1"/>
  <c r="AE55" i="1" s="1"/>
  <c r="AB11" i="1"/>
  <c r="T12" i="1"/>
  <c r="V12" i="1" s="1"/>
  <c r="T14" i="1"/>
  <c r="V14" i="1" s="1"/>
  <c r="T16" i="1"/>
  <c r="T18" i="1"/>
  <c r="V18" i="1" s="1"/>
  <c r="T20" i="1"/>
  <c r="T22" i="1"/>
  <c r="T24" i="1"/>
  <c r="T26" i="1"/>
  <c r="T28" i="1"/>
  <c r="V28" i="1" s="1"/>
  <c r="T30" i="1"/>
  <c r="V30" i="1" s="1"/>
  <c r="T32" i="1"/>
  <c r="V32" i="1" s="1"/>
  <c r="T34" i="1"/>
  <c r="V34" i="1" s="1"/>
  <c r="T36" i="1"/>
  <c r="V36" i="1" s="1"/>
  <c r="T38" i="1"/>
  <c r="V38" i="1" s="1"/>
  <c r="T40" i="1"/>
  <c r="V40" i="1" s="1"/>
  <c r="U42" i="1"/>
  <c r="AE42" i="1" s="1"/>
  <c r="AA46" i="1"/>
  <c r="AA50" i="1"/>
  <c r="AA54" i="1"/>
  <c r="AB47" i="1"/>
  <c r="Z11" i="1"/>
  <c r="Z15" i="1"/>
  <c r="U14" i="1"/>
  <c r="AE14" i="1" s="1"/>
  <c r="U18" i="1"/>
  <c r="AE18" i="1" s="1"/>
  <c r="U20" i="1"/>
  <c r="AE20" i="1" s="1"/>
  <c r="U22" i="1"/>
  <c r="AE22" i="1" s="1"/>
  <c r="U24" i="1"/>
  <c r="AE24" i="1" s="1"/>
  <c r="U26" i="1"/>
  <c r="AE26" i="1" s="1"/>
  <c r="U28" i="1"/>
  <c r="AE28" i="1" s="1"/>
  <c r="U30" i="1"/>
  <c r="AE30" i="1" s="1"/>
  <c r="U32" i="1"/>
  <c r="AE32" i="1" s="1"/>
  <c r="U34" i="1"/>
  <c r="AE34" i="1" s="1"/>
  <c r="U36" i="1"/>
  <c r="AE36" i="1" s="1"/>
  <c r="U38" i="1"/>
  <c r="AE38" i="1" s="1"/>
  <c r="U40" i="1"/>
  <c r="AE40" i="1" s="1"/>
  <c r="AB46" i="1"/>
  <c r="Y47" i="1"/>
  <c r="T48" i="1"/>
  <c r="V48" i="1" s="1"/>
  <c r="AB50" i="1"/>
  <c r="Y51" i="1"/>
  <c r="T52" i="1"/>
  <c r="V52" i="1" s="1"/>
  <c r="AB54" i="1"/>
  <c r="Y55" i="1"/>
  <c r="U12" i="1"/>
  <c r="AE12" i="1" s="1"/>
  <c r="Y42" i="1"/>
  <c r="AC46" i="1"/>
  <c r="Z47" i="1"/>
  <c r="Z51" i="1"/>
  <c r="Z55" i="1"/>
  <c r="T10" i="1"/>
  <c r="U10" i="1"/>
  <c r="U16" i="1"/>
  <c r="AE16" i="1" s="1"/>
  <c r="Y62" i="1" l="1"/>
  <c r="U44" i="1"/>
  <c r="AE10" i="1"/>
  <c r="Q62" i="1"/>
  <c r="AE46" i="1"/>
  <c r="U56" i="1"/>
  <c r="AE56" i="1" s="1"/>
  <c r="V54" i="1"/>
  <c r="N62" i="1"/>
  <c r="AB44" i="1"/>
  <c r="AB62" i="1" s="1"/>
  <c r="Z66" i="1"/>
  <c r="Z78" i="1"/>
  <c r="AC71" i="1"/>
  <c r="V81" i="1" s="1"/>
  <c r="Z84" i="1" s="1"/>
  <c r="M62" i="1"/>
  <c r="V46" i="1"/>
  <c r="V50" i="1"/>
  <c r="R62" i="1"/>
  <c r="Z69" i="1" s="1"/>
  <c r="Z81" i="1"/>
  <c r="T56" i="1"/>
  <c r="V16" i="1"/>
  <c r="AC44" i="1"/>
  <c r="AC62" i="1" s="1"/>
  <c r="V13" i="1"/>
  <c r="V35" i="1"/>
  <c r="V31" i="1"/>
  <c r="V41" i="1"/>
  <c r="V78" i="1"/>
  <c r="Z79" i="1"/>
  <c r="V19" i="1"/>
  <c r="AC56" i="1"/>
  <c r="AC63" i="1"/>
  <c r="V39" i="1"/>
  <c r="V23" i="1"/>
  <c r="V29" i="1"/>
  <c r="T44" i="1"/>
  <c r="V10" i="1"/>
  <c r="V26" i="1"/>
  <c r="AA44" i="1"/>
  <c r="AA62" i="1" s="1"/>
  <c r="V24" i="1"/>
  <c r="V27" i="1"/>
  <c r="V11" i="1"/>
  <c r="V33" i="1"/>
  <c r="V17" i="1"/>
  <c r="V22" i="1"/>
  <c r="Z44" i="1"/>
  <c r="Z62" i="1" s="1"/>
  <c r="Z56" i="1"/>
  <c r="AA56" i="1"/>
  <c r="V20" i="1"/>
  <c r="V42" i="1"/>
  <c r="V43" i="1"/>
  <c r="S62" i="1"/>
  <c r="V21" i="1"/>
  <c r="AC68" i="1" l="1"/>
  <c r="AC73" i="1"/>
  <c r="AC69" i="1"/>
  <c r="V84" i="1" s="1"/>
  <c r="AC70" i="1"/>
  <c r="V85" i="1" s="1"/>
  <c r="AD66" i="1"/>
  <c r="Z71" i="1"/>
  <c r="Z76" i="1" s="1"/>
  <c r="V44" i="1"/>
  <c r="AE66" i="1"/>
  <c r="V56" i="1"/>
  <c r="U62" i="1"/>
  <c r="AE44" i="1"/>
  <c r="T62" i="1"/>
  <c r="V62" i="1" l="1"/>
  <c r="V83" i="1"/>
  <c r="AC76" i="1"/>
  <c r="V80" i="1" s="1"/>
  <c r="AA63" i="1"/>
  <c r="AE62" i="1"/>
  <c r="C63" i="1"/>
  <c r="Z80" i="1" l="1"/>
  <c r="Z86" i="1" s="1"/>
  <c r="V86" i="1"/>
  <c r="AC77" i="1"/>
  <c r="Z88" i="1"/>
  <c r="AC81" i="1"/>
  <c r="Z129" i="1"/>
  <c r="AC110" i="1" l="1"/>
  <c r="AA89" i="1"/>
  <c r="Z114" i="1"/>
  <c r="Z110" i="1"/>
  <c r="Z117" i="1" l="1"/>
  <c r="AA11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 10</author>
    <author>Administrator</author>
  </authors>
  <commentList>
    <comment ref="F44" authorId="0" shapeId="0" xr:uid="{88E3D748-F9C0-47C0-BFCF-0ADF89B0F6FD}">
      <text>
        <r>
          <rPr>
            <b/>
            <sz val="9"/>
            <color indexed="81"/>
            <rFont val="Tahoma"/>
            <family val="2"/>
          </rPr>
          <t>Windows 10:</t>
        </r>
        <r>
          <rPr>
            <sz val="9"/>
            <color indexed="81"/>
            <rFont val="Tahoma"/>
            <family val="2"/>
          </rPr>
          <t xml:space="preserve">
kiểm tra lại công thức </t>
        </r>
      </text>
    </comment>
    <comment ref="U82" authorId="1" shapeId="0" xr:uid="{454A8595-C8DC-424E-8691-EEA806B57F33}">
      <text>
        <r>
          <rPr>
            <b/>
            <sz val="9"/>
            <color indexed="81"/>
            <rFont val="Tahoma"/>
            <family val="2"/>
          </rPr>
          <t>Administrator:</t>
        </r>
        <r>
          <rPr>
            <sz val="9"/>
            <color indexed="81"/>
            <rFont val="Tahoma"/>
            <family val="2"/>
          </rPr>
          <t xml:space="preserve">
thâm niên VK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 10</author>
    <author>Administrator</author>
  </authors>
  <commentList>
    <comment ref="F44" authorId="0" shapeId="0" xr:uid="{93038FF3-DD3A-4136-8B6B-D9B5EB25F25F}">
      <text>
        <r>
          <rPr>
            <b/>
            <sz val="9"/>
            <color indexed="81"/>
            <rFont val="Tahoma"/>
            <family val="2"/>
          </rPr>
          <t>Windows 10:</t>
        </r>
        <r>
          <rPr>
            <sz val="9"/>
            <color indexed="81"/>
            <rFont val="Tahoma"/>
            <family val="2"/>
          </rPr>
          <t xml:space="preserve">
kiểm tra lại công thức </t>
        </r>
      </text>
    </comment>
    <comment ref="U82" authorId="1" shapeId="0" xr:uid="{B1F28358-9887-4D25-8267-5E3A44B6689D}">
      <text>
        <r>
          <rPr>
            <b/>
            <sz val="9"/>
            <color indexed="81"/>
            <rFont val="Tahoma"/>
            <family val="2"/>
          </rPr>
          <t>Administrator:</t>
        </r>
        <r>
          <rPr>
            <sz val="9"/>
            <color indexed="81"/>
            <rFont val="Tahoma"/>
            <family val="2"/>
          </rPr>
          <t xml:space="preserve">
thâm niên VK</t>
        </r>
      </text>
    </comment>
  </commentList>
</comments>
</file>

<file path=xl/sharedStrings.xml><?xml version="1.0" encoding="utf-8"?>
<sst xmlns="http://schemas.openxmlformats.org/spreadsheetml/2006/main" count="448" uniqueCount="149">
  <si>
    <t>Trường mầm non Đức Giang</t>
  </si>
  <si>
    <t>BẢNG CHI LƯƠNG THÁNG 06 NĂM 2025</t>
  </si>
  <si>
    <t>STT</t>
  </si>
  <si>
    <t>Tên</t>
  </si>
  <si>
    <t>Ngày tháng năm sinh</t>
  </si>
  <si>
    <t>số TK NH</t>
  </si>
  <si>
    <t>Chức vụ</t>
  </si>
  <si>
    <t>Hệ số các loại</t>
  </si>
  <si>
    <t>Tổng quỹ lương, phụ cấp và các khoản đóng góp theo mức lương tối thiểu 2.340.000đ</t>
  </si>
  <si>
    <t>Tổng quỹ lương</t>
  </si>
  <si>
    <t>BHXH8%, BHYT1.5%, BHTN 1%  khấu trù vào lương</t>
  </si>
  <si>
    <t>Số tiền thực lĩnh</t>
  </si>
  <si>
    <t>Ghi chú</t>
  </si>
  <si>
    <t>17%</t>
  </si>
  <si>
    <t>2% KPC§</t>
  </si>
  <si>
    <t>Hệ số theo ngạch bậc</t>
  </si>
  <si>
    <t>Lương vùng</t>
  </si>
  <si>
    <t>PCTN vượt khung</t>
  </si>
  <si>
    <t>Hệ số Phụ cấp các loại</t>
  </si>
  <si>
    <t>Tiền lương theo ngạch bậc</t>
  </si>
  <si>
    <t>Tiền phụ cấp</t>
  </si>
  <si>
    <t>Trách nhiệm</t>
  </si>
  <si>
    <t>Phụ cấp ngành</t>
  </si>
  <si>
    <t>Phụ cấp thâm niên nhà giáo</t>
  </si>
  <si>
    <t>Tỷ lệ</t>
  </si>
  <si>
    <t>Hệ số</t>
  </si>
  <si>
    <t>A. Công chức, viên chức :</t>
  </si>
  <si>
    <t>Hoàng Diệu Liên</t>
  </si>
  <si>
    <t>9965568159</t>
  </si>
  <si>
    <t>HT</t>
  </si>
  <si>
    <t>ĐV</t>
  </si>
  <si>
    <t>Nguyễn Thị Phương Hoa</t>
  </si>
  <si>
    <t>9030886666</t>
  </si>
  <si>
    <t>PHT</t>
  </si>
  <si>
    <t>Hà Thị Thùy</t>
  </si>
  <si>
    <t>8973962635</t>
  </si>
  <si>
    <t>Bùi Thị Thuý Hoà</t>
  </si>
  <si>
    <t>9966725638</t>
  </si>
  <si>
    <t>GV</t>
  </si>
  <si>
    <t>Lê Thị Hà Châu</t>
  </si>
  <si>
    <t>8836654368</t>
  </si>
  <si>
    <t>Lương Thị Thu Hiền</t>
  </si>
  <si>
    <t>1021977077</t>
  </si>
  <si>
    <t>Đỗ Thị Tâm</t>
  </si>
  <si>
    <t>9975622811</t>
  </si>
  <si>
    <t>Trịnh Thị Thuỷ</t>
  </si>
  <si>
    <t>0000125021978</t>
  </si>
  <si>
    <t>Mai Thị Thu</t>
  </si>
  <si>
    <t>82201334689999</t>
  </si>
  <si>
    <t>Vũ Thị Thuỷ</t>
  </si>
  <si>
    <t>9969151886</t>
  </si>
  <si>
    <t>TPCTN</t>
  </si>
  <si>
    <t>Đinh Thị Thu Trang</t>
  </si>
  <si>
    <t>9973031083</t>
  </si>
  <si>
    <t>Đào Thị Thu Thuỷ</t>
  </si>
  <si>
    <t>9936909386</t>
  </si>
  <si>
    <t>Bành Thị Tâm</t>
  </si>
  <si>
    <t>980119829999</t>
  </si>
  <si>
    <t>Nguyễn Thị Thu Huyền</t>
  </si>
  <si>
    <t>9902163676</t>
  </si>
  <si>
    <t>Trần Thị Hoàn</t>
  </si>
  <si>
    <t>9985258746</t>
  </si>
  <si>
    <t>Lê Thị Toan</t>
  </si>
  <si>
    <t>9357728859</t>
  </si>
  <si>
    <t>Triệu Thị Thanh</t>
  </si>
  <si>
    <t>8898289289</t>
  </si>
  <si>
    <t>Lê Thị Hồng Hạnh</t>
  </si>
  <si>
    <t>8858680888</t>
  </si>
  <si>
    <t>Đào Thị Hằng</t>
  </si>
  <si>
    <t>6288868688</t>
  </si>
  <si>
    <t>Nguyễn Kiều Anh</t>
  </si>
  <si>
    <t>9976056384</t>
  </si>
  <si>
    <t>Nguyễn Thị Thu Hằng</t>
  </si>
  <si>
    <t>9983896483</t>
  </si>
  <si>
    <t>Lê Thúy Quỳnh</t>
  </si>
  <si>
    <t>9917311091</t>
  </si>
  <si>
    <t>Nguyễn Huyền Nga</t>
  </si>
  <si>
    <t>9366363155</t>
  </si>
  <si>
    <t>Âu Thị Hiển</t>
  </si>
  <si>
    <t>6680333666</t>
  </si>
  <si>
    <t>Nguyễn Thị Hoa</t>
  </si>
  <si>
    <t>2606198689</t>
  </si>
  <si>
    <t>Nguyễn Thị Thu</t>
  </si>
  <si>
    <t>9987820749</t>
  </si>
  <si>
    <t>Nguyễn Kiều Trang</t>
  </si>
  <si>
    <t>6102288888</t>
  </si>
  <si>
    <t>Phạm Thị Châm</t>
  </si>
  <si>
    <t>3384914034</t>
  </si>
  <si>
    <t>Nguyễn Thúy An</t>
  </si>
  <si>
    <t>9969544940</t>
  </si>
  <si>
    <t>Nguyễn Thị Bích Ngọc</t>
  </si>
  <si>
    <t>6605285656</t>
  </si>
  <si>
    <t>Phạm Thị Trà My</t>
  </si>
  <si>
    <t>1810199491</t>
  </si>
  <si>
    <t>Nguyễn Thị Thu Trang</t>
  </si>
  <si>
    <t>1905199669</t>
  </si>
  <si>
    <t>Nguyễn Thị Thoa</t>
  </si>
  <si>
    <t>9936620628</t>
  </si>
  <si>
    <t>Dương Hoàn</t>
  </si>
  <si>
    <t>1712631816</t>
  </si>
  <si>
    <t>BV</t>
  </si>
  <si>
    <t>Cộng A</t>
  </si>
  <si>
    <t>B</t>
  </si>
  <si>
    <t xml:space="preserve">Hợp đồng  thực hiện công việc hỗ trợ, phục vụ theo NĐ 111/2022/NĐ-CP </t>
  </si>
  <si>
    <t>6728121977</t>
  </si>
  <si>
    <t>CN</t>
  </si>
  <si>
    <t>Lê Thị Hằng</t>
  </si>
  <si>
    <t>3362527050</t>
  </si>
  <si>
    <t>Nguyễn Thị Ngọt</t>
  </si>
  <si>
    <t>8803012012</t>
  </si>
  <si>
    <t>Nguyễn Xuân Biên</t>
  </si>
  <si>
    <t>2803776666</t>
  </si>
  <si>
    <t>Mai Thị Hải Đường</t>
  </si>
  <si>
    <t>9961697926</t>
  </si>
  <si>
    <t>Dương Thị Thu Hương</t>
  </si>
  <si>
    <t>3108728888</t>
  </si>
  <si>
    <t>Trần Thị Thủy</t>
  </si>
  <si>
    <t>3358101273</t>
  </si>
  <si>
    <t>Lương Thị Thúy Nga</t>
  </si>
  <si>
    <t>9977800462</t>
  </si>
  <si>
    <t>Mai Quốc Nam</t>
  </si>
  <si>
    <t>1273888999</t>
  </si>
  <si>
    <t>Nguyễn Bá Vũ</t>
  </si>
  <si>
    <t>8866633656</t>
  </si>
  <si>
    <t>Cộng B</t>
  </si>
  <si>
    <t>C</t>
  </si>
  <si>
    <t xml:space="preserve">Đối với HĐ thực hiện công việc chuyên môn nghiệp vụ trong ĐV SNCL theo Nghị định 111/2022/NĐ-CP </t>
  </si>
  <si>
    <t>Cộng C</t>
  </si>
  <si>
    <t>D</t>
  </si>
  <si>
    <t>Thanh toán cá nhân khác</t>
  </si>
  <si>
    <t>Tổng cộng A+B +C+D</t>
  </si>
  <si>
    <t>Bằng chữ :</t>
  </si>
  <si>
    <t>Ngày27 tháng 05 năm 2025</t>
  </si>
  <si>
    <t>Lương</t>
  </si>
  <si>
    <t>BHXH</t>
  </si>
  <si>
    <t>Kế toán</t>
  </si>
  <si>
    <t>Chủ tài khoản duyệt chi</t>
  </si>
  <si>
    <t>Nguyễn Thị  Thoa</t>
  </si>
  <si>
    <t>thâm niên</t>
  </si>
  <si>
    <t>vượt khung</t>
  </si>
  <si>
    <t>thất nghiệp</t>
  </si>
  <si>
    <t>chức vụ</t>
  </si>
  <si>
    <t>Bảng tính BHXH</t>
  </si>
  <si>
    <t>Tổng</t>
  </si>
  <si>
    <t>Bảng tính KPCĐ</t>
  </si>
  <si>
    <t>Có truy lĩnh</t>
  </si>
  <si>
    <t xml:space="preserve"> </t>
  </si>
  <si>
    <t>BẢNG CHI LƯƠNG THÁNG 07 NĂM 2025</t>
  </si>
  <si>
    <t>Ngày 28 tháng 05 năm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</si>
</sst>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-* #,##0.00_-;\-* #,##0.00_-;_-* &quot;-&quot;??_-;_-@_-"/>
    <numFmt numFmtId="164" formatCode="_-* #,##0_-;\-* #,##0_-;_-* &quot;-&quot;??_-;_-@_-"/>
    <numFmt numFmtId="165" formatCode="0.0%"/>
    <numFmt numFmtId="166" formatCode="0.000_ "/>
    <numFmt numFmtId="167" formatCode="0.000"/>
    <numFmt numFmtId="168" formatCode="#\ ###\ ###"/>
    <numFmt numFmtId="169" formatCode="_-* #,##0.000\ _₫_-;\-* #,##0.000\ _₫_-;_-* &quot;-&quot;???\ _₫_-;_-@_-"/>
    <numFmt numFmtId="170" formatCode="_-* #,##0.000_-;\-* #,##0.000_-;_-* &quot;-&quot;??_-;_-@_-"/>
    <numFmt numFmtId="171" formatCode="_-* #,##0.0_-;\-* #,##0.0_-;_-* &quot;-&quot;??_-;_-@_-"/>
    <numFmt numFmtId="172" formatCode="_(* #,##0_);_(* \(#,##0\);_(* &quot;-&quot;??_);_(@_)"/>
    <numFmt numFmtId="173" formatCode="_-* #,##0.000_-;\-* #,##0.000_-;_-* &quot;-&quot;??.000_-;_-@_-"/>
    <numFmt numFmtId="174" formatCode="_-* #,##0.00\ _₫_-;\-* #,##0.00\ _₫_-;_-* &quot;-&quot;??\ _₫_-;_-@_-"/>
  </numFmts>
  <fonts count="30">
    <font>
      <sz val="11"/>
      <color theme="1"/>
      <name val="Arial"/>
      <family val="2"/>
      <scheme val="minor"/>
    </font>
    <font>
      <sz val="12"/>
      <name val=".VnTime"/>
      <family val="2"/>
    </font>
    <font>
      <b/>
      <sz val="13"/>
      <color theme="1"/>
      <name val="Times New Roman"/>
      <family val="1"/>
      <charset val="163"/>
    </font>
    <font>
      <b/>
      <sz val="12"/>
      <color theme="1"/>
      <name val="Times New Roman"/>
      <family val="1"/>
      <charset val="163"/>
    </font>
    <font>
      <b/>
      <sz val="8"/>
      <color theme="1"/>
      <name val="Times New Roman"/>
      <family val="1"/>
      <charset val="163"/>
    </font>
    <font>
      <sz val="12"/>
      <color theme="1"/>
      <name val="Times New Roman"/>
      <family val="1"/>
      <charset val="163"/>
    </font>
    <font>
      <sz val="13"/>
      <color theme="1"/>
      <name val="Times New Roman"/>
      <family val="1"/>
      <charset val="163"/>
    </font>
    <font>
      <sz val="11"/>
      <color theme="1"/>
      <name val="Arial"/>
      <family val="2"/>
      <scheme val="minor"/>
    </font>
    <font>
      <b/>
      <sz val="16"/>
      <color theme="1"/>
      <name val="Times New Roman"/>
      <family val="1"/>
      <charset val="163"/>
    </font>
    <font>
      <sz val="10"/>
      <color theme="1"/>
      <name val="Times New Roman"/>
      <family val="1"/>
      <charset val="163"/>
    </font>
    <font>
      <sz val="8"/>
      <color theme="1"/>
      <name val="Times New Roman"/>
      <family val="1"/>
      <charset val="163"/>
    </font>
    <font>
      <b/>
      <i/>
      <sz val="12"/>
      <color theme="1"/>
      <name val="Times New Roman"/>
      <family val="1"/>
      <charset val="163"/>
    </font>
    <font>
      <b/>
      <sz val="10"/>
      <color theme="1"/>
      <name val="Times New Roman"/>
      <family val="1"/>
      <charset val="163"/>
    </font>
    <font>
      <b/>
      <i/>
      <sz val="10"/>
      <color theme="1"/>
      <name val="Times New Roman"/>
      <family val="1"/>
      <charset val="163"/>
    </font>
    <font>
      <b/>
      <i/>
      <sz val="9"/>
      <color theme="1"/>
      <name val="Times New Roman"/>
      <family val="1"/>
      <charset val="163"/>
    </font>
    <font>
      <b/>
      <i/>
      <sz val="8"/>
      <color theme="1"/>
      <name val="Times New Roman"/>
      <family val="1"/>
      <charset val="163"/>
    </font>
    <font>
      <sz val="12"/>
      <color theme="1"/>
      <name val=".VnTime"/>
      <family val="2"/>
      <charset val="163"/>
    </font>
    <font>
      <b/>
      <sz val="14"/>
      <color theme="1"/>
      <name val="Times New Roman"/>
      <family val="1"/>
      <charset val="163"/>
    </font>
    <font>
      <sz val="9"/>
      <color theme="1"/>
      <name val="Times New Roman"/>
      <family val="1"/>
      <charset val="163"/>
    </font>
    <font>
      <b/>
      <sz val="9"/>
      <color theme="1"/>
      <name val="Times New Roman"/>
      <family val="1"/>
      <charset val="163"/>
    </font>
    <font>
      <b/>
      <i/>
      <sz val="11"/>
      <color theme="1"/>
      <name val="Times New Roman"/>
      <family val="1"/>
      <charset val="163"/>
    </font>
    <font>
      <sz val="6"/>
      <color theme="1"/>
      <name val="Times New Roman"/>
      <family val="1"/>
      <charset val="163"/>
    </font>
    <font>
      <b/>
      <sz val="11"/>
      <color theme="1"/>
      <name val="Times New Roman"/>
      <family val="1"/>
      <charset val="163"/>
    </font>
    <font>
      <sz val="14"/>
      <color theme="1"/>
      <name val="Times New Roman"/>
      <family val="1"/>
      <charset val="163"/>
    </font>
    <font>
      <sz val="11"/>
      <color theme="1"/>
      <name val="Times New Roman"/>
      <family val="1"/>
      <charset val="163"/>
    </font>
    <font>
      <sz val="12"/>
      <color rgb="FFFF0000"/>
      <name val="Times New Roman"/>
      <family val="1"/>
      <charset val="163"/>
    </font>
    <font>
      <i/>
      <sz val="8"/>
      <color theme="1"/>
      <name val="Times New Roman"/>
      <family val="1"/>
      <charset val="163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rgb="FFFF0000"/>
      <name val="Times New Roman"/>
      <family val="1"/>
      <charset val="163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99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3">
    <xf numFmtId="0" fontId="0" fillId="0" borderId="0"/>
    <xf numFmtId="43" fontId="7" fillId="0" borderId="0" applyFont="0" applyFill="0" applyBorder="0" applyAlignment="0" applyProtection="0"/>
    <xf numFmtId="0" fontId="1" fillId="0" borderId="0"/>
  </cellStyleXfs>
  <cellXfs count="207">
    <xf numFmtId="0" fontId="0" fillId="0" borderId="0" xfId="0"/>
    <xf numFmtId="0" fontId="2" fillId="0" borderId="0" xfId="2" applyFont="1"/>
    <xf numFmtId="0" fontId="3" fillId="0" borderId="0" xfId="2" applyFont="1"/>
    <xf numFmtId="0" fontId="4" fillId="0" borderId="0" xfId="2" applyFont="1"/>
    <xf numFmtId="3" fontId="5" fillId="0" borderId="0" xfId="2" applyNumberFormat="1" applyFont="1"/>
    <xf numFmtId="0" fontId="5" fillId="0" borderId="0" xfId="2" applyFont="1"/>
    <xf numFmtId="0" fontId="5" fillId="0" borderId="0" xfId="2" applyFont="1" applyAlignment="1">
      <alignment horizontal="center"/>
    </xf>
    <xf numFmtId="0" fontId="6" fillId="0" borderId="0" xfId="2" applyFont="1"/>
    <xf numFmtId="164" fontId="5" fillId="0" borderId="0" xfId="1" applyNumberFormat="1" applyFont="1" applyFill="1"/>
    <xf numFmtId="0" fontId="8" fillId="0" borderId="0" xfId="2" applyFont="1" applyAlignment="1">
      <alignment horizontal="center"/>
    </xf>
    <xf numFmtId="0" fontId="8" fillId="0" borderId="0" xfId="2" applyFont="1" applyAlignment="1">
      <alignment horizontal="center"/>
    </xf>
    <xf numFmtId="0" fontId="9" fillId="0" borderId="0" xfId="2" applyFont="1"/>
    <xf numFmtId="0" fontId="10" fillId="0" borderId="0" xfId="2" applyFont="1"/>
    <xf numFmtId="0" fontId="3" fillId="0" borderId="0" xfId="2" applyFont="1" applyAlignment="1">
      <alignment horizontal="center"/>
    </xf>
    <xf numFmtId="0" fontId="3" fillId="0" borderId="0" xfId="2" applyFont="1" applyAlignment="1">
      <alignment horizontal="center"/>
    </xf>
    <xf numFmtId="3" fontId="11" fillId="0" borderId="0" xfId="2" applyNumberFormat="1" applyFont="1"/>
    <xf numFmtId="0" fontId="12" fillId="0" borderId="1" xfId="2" applyFont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12" fillId="0" borderId="2" xfId="2" applyFont="1" applyBorder="1" applyAlignment="1">
      <alignment horizontal="center" vertical="center" wrapText="1"/>
    </xf>
    <xf numFmtId="0" fontId="12" fillId="0" borderId="3" xfId="2" applyFont="1" applyBorder="1" applyAlignment="1">
      <alignment horizontal="center" vertical="center" wrapText="1"/>
    </xf>
    <xf numFmtId="0" fontId="12" fillId="0" borderId="4" xfId="2" applyFont="1" applyBorder="1" applyAlignment="1">
      <alignment horizontal="center" vertical="center" wrapText="1"/>
    </xf>
    <xf numFmtId="3" fontId="12" fillId="0" borderId="2" xfId="2" applyNumberFormat="1" applyFont="1" applyBorder="1" applyAlignment="1">
      <alignment horizontal="center" vertical="center" wrapText="1"/>
    </xf>
    <xf numFmtId="3" fontId="12" fillId="0" borderId="3" xfId="2" applyNumberFormat="1" applyFont="1" applyBorder="1" applyAlignment="1">
      <alignment horizontal="center" vertical="center" wrapText="1"/>
    </xf>
    <xf numFmtId="3" fontId="12" fillId="0" borderId="4" xfId="2" applyNumberFormat="1" applyFont="1" applyBorder="1" applyAlignment="1">
      <alignment horizontal="center" vertical="center" wrapText="1"/>
    </xf>
    <xf numFmtId="0" fontId="13" fillId="0" borderId="1" xfId="2" applyFont="1" applyBorder="1" applyAlignment="1">
      <alignment horizontal="center" vertical="center" wrapText="1"/>
    </xf>
    <xf numFmtId="0" fontId="14" fillId="0" borderId="1" xfId="2" applyFont="1" applyBorder="1" applyAlignment="1">
      <alignment horizontal="center" vertical="center" wrapText="1"/>
    </xf>
    <xf numFmtId="0" fontId="13" fillId="0" borderId="1" xfId="2" applyFont="1" applyBorder="1" applyAlignment="1">
      <alignment horizontal="center" vertical="center" wrapText="1"/>
    </xf>
    <xf numFmtId="9" fontId="13" fillId="0" borderId="1" xfId="2" quotePrefix="1" applyNumberFormat="1" applyFont="1" applyBorder="1" applyAlignment="1">
      <alignment horizontal="center" vertical="center" wrapText="1"/>
    </xf>
    <xf numFmtId="9" fontId="13" fillId="0" borderId="1" xfId="2" applyNumberFormat="1" applyFont="1" applyBorder="1" applyAlignment="1">
      <alignment horizontal="center" vertical="center" wrapText="1"/>
    </xf>
    <xf numFmtId="165" fontId="13" fillId="0" borderId="1" xfId="2" applyNumberFormat="1" applyFont="1" applyBorder="1" applyAlignment="1">
      <alignment horizontal="center" vertical="center" wrapText="1"/>
    </xf>
    <xf numFmtId="164" fontId="9" fillId="0" borderId="0" xfId="1" applyNumberFormat="1" applyFont="1" applyFill="1"/>
    <xf numFmtId="0" fontId="12" fillId="0" borderId="5" xfId="2" applyFont="1" applyBorder="1" applyAlignment="1">
      <alignment horizontal="center" vertical="center" wrapText="1"/>
    </xf>
    <xf numFmtId="0" fontId="4" fillId="0" borderId="5" xfId="2" applyFont="1" applyBorder="1" applyAlignment="1">
      <alignment horizontal="center" vertical="center" wrapText="1"/>
    </xf>
    <xf numFmtId="0" fontId="15" fillId="0" borderId="1" xfId="2" applyFont="1" applyBorder="1" applyAlignment="1">
      <alignment horizontal="center" vertical="center" wrapText="1"/>
    </xf>
    <xf numFmtId="0" fontId="12" fillId="0" borderId="6" xfId="2" applyFont="1" applyBorder="1" applyAlignment="1">
      <alignment horizontal="center" vertical="center" wrapText="1"/>
    </xf>
    <xf numFmtId="0" fontId="12" fillId="0" borderId="7" xfId="2" applyFont="1" applyBorder="1" applyAlignment="1">
      <alignment horizontal="center" vertical="center" wrapText="1"/>
    </xf>
    <xf numFmtId="0" fontId="12" fillId="0" borderId="8" xfId="2" applyFont="1" applyBorder="1" applyAlignment="1">
      <alignment horizontal="center" vertical="center" wrapText="1"/>
    </xf>
    <xf numFmtId="0" fontId="13" fillId="0" borderId="5" xfId="2" applyFont="1" applyBorder="1" applyAlignment="1">
      <alignment horizontal="center" vertical="center" wrapText="1"/>
    </xf>
    <xf numFmtId="0" fontId="14" fillId="0" borderId="5" xfId="2" applyFont="1" applyBorder="1" applyAlignment="1">
      <alignment horizontal="center" vertical="center" wrapText="1"/>
    </xf>
    <xf numFmtId="0" fontId="13" fillId="0" borderId="5" xfId="2" applyFont="1" applyBorder="1" applyAlignment="1">
      <alignment horizontal="center" vertical="center" wrapText="1"/>
    </xf>
    <xf numFmtId="9" fontId="13" fillId="0" borderId="5" xfId="2" quotePrefix="1" applyNumberFormat="1" applyFont="1" applyBorder="1" applyAlignment="1">
      <alignment horizontal="center" vertical="center" wrapText="1"/>
    </xf>
    <xf numFmtId="9" fontId="13" fillId="0" borderId="5" xfId="2" applyNumberFormat="1" applyFont="1" applyBorder="1" applyAlignment="1">
      <alignment horizontal="center" vertical="center" wrapText="1"/>
    </xf>
    <xf numFmtId="165" fontId="13" fillId="0" borderId="5" xfId="2" applyNumberFormat="1" applyFont="1" applyBorder="1" applyAlignment="1">
      <alignment horizontal="center" vertical="center" wrapText="1"/>
    </xf>
    <xf numFmtId="0" fontId="15" fillId="0" borderId="5" xfId="2" applyFont="1" applyBorder="1" applyAlignment="1">
      <alignment horizontal="center" vertical="center" wrapText="1"/>
    </xf>
    <xf numFmtId="0" fontId="4" fillId="0" borderId="2" xfId="2" applyFont="1" applyBorder="1" applyAlignment="1">
      <alignment horizontal="center" vertical="center" wrapText="1"/>
    </xf>
    <xf numFmtId="0" fontId="4" fillId="0" borderId="4" xfId="2" applyFont="1" applyBorder="1" applyAlignment="1">
      <alignment horizontal="center" vertical="center" wrapText="1"/>
    </xf>
    <xf numFmtId="0" fontId="12" fillId="0" borderId="9" xfId="2" applyFont="1" applyBorder="1" applyAlignment="1">
      <alignment horizontal="center" vertical="center" wrapText="1"/>
    </xf>
    <xf numFmtId="0" fontId="4" fillId="0" borderId="9" xfId="2" applyFont="1" applyBorder="1" applyAlignment="1">
      <alignment horizontal="center" vertical="center" wrapText="1"/>
    </xf>
    <xf numFmtId="0" fontId="13" fillId="0" borderId="9" xfId="2" applyFont="1" applyBorder="1" applyAlignment="1">
      <alignment horizontal="center" vertical="center" wrapText="1"/>
    </xf>
    <xf numFmtId="0" fontId="15" fillId="0" borderId="9" xfId="2" applyFont="1" applyBorder="1" applyAlignment="1">
      <alignment horizontal="center" vertical="center" wrapText="1"/>
    </xf>
    <xf numFmtId="0" fontId="16" fillId="0" borderId="9" xfId="2" applyFont="1" applyBorder="1" applyAlignment="1">
      <alignment horizontal="center" vertical="center" wrapText="1"/>
    </xf>
    <xf numFmtId="0" fontId="15" fillId="0" borderId="4" xfId="2" applyFont="1" applyBorder="1" applyAlignment="1">
      <alignment horizontal="center" vertical="center" wrapText="1"/>
    </xf>
    <xf numFmtId="0" fontId="14" fillId="0" borderId="9" xfId="2" applyFont="1" applyBorder="1" applyAlignment="1">
      <alignment horizontal="center" vertical="center" wrapText="1"/>
    </xf>
    <xf numFmtId="0" fontId="13" fillId="0" borderId="9" xfId="2" applyFont="1" applyBorder="1" applyAlignment="1">
      <alignment horizontal="center" vertical="center" wrapText="1"/>
    </xf>
    <xf numFmtId="9" fontId="13" fillId="0" borderId="9" xfId="2" quotePrefix="1" applyNumberFormat="1" applyFont="1" applyBorder="1" applyAlignment="1">
      <alignment horizontal="center" vertical="center" wrapText="1"/>
    </xf>
    <xf numFmtId="9" fontId="13" fillId="0" borderId="9" xfId="2" applyNumberFormat="1" applyFont="1" applyBorder="1" applyAlignment="1">
      <alignment horizontal="center" vertical="center" wrapText="1"/>
    </xf>
    <xf numFmtId="165" fontId="13" fillId="0" borderId="9" xfId="2" applyNumberFormat="1" applyFont="1" applyBorder="1" applyAlignment="1">
      <alignment horizontal="center" vertical="center" wrapText="1"/>
    </xf>
    <xf numFmtId="0" fontId="4" fillId="0" borderId="10" xfId="2" applyFont="1" applyBorder="1" applyAlignment="1">
      <alignment horizontal="center" vertical="center" wrapText="1"/>
    </xf>
    <xf numFmtId="0" fontId="4" fillId="0" borderId="0" xfId="2" applyFont="1" applyAlignment="1">
      <alignment horizontal="center" vertical="center" wrapText="1"/>
    </xf>
    <xf numFmtId="0" fontId="13" fillId="0" borderId="0" xfId="2" applyFont="1" applyAlignment="1">
      <alignment horizontal="center" vertical="center" wrapText="1"/>
    </xf>
    <xf numFmtId="9" fontId="13" fillId="0" borderId="0" xfId="2" applyNumberFormat="1" applyFont="1" applyAlignment="1">
      <alignment horizontal="center" vertical="center" wrapText="1"/>
    </xf>
    <xf numFmtId="0" fontId="12" fillId="0" borderId="10" xfId="2" applyFont="1" applyBorder="1" applyAlignment="1">
      <alignment horizontal="left"/>
    </xf>
    <xf numFmtId="0" fontId="9" fillId="0" borderId="10" xfId="2" applyFont="1" applyBorder="1"/>
    <xf numFmtId="0" fontId="10" fillId="0" borderId="10" xfId="2" applyFont="1" applyBorder="1"/>
    <xf numFmtId="3" fontId="9" fillId="0" borderId="10" xfId="2" applyNumberFormat="1" applyFont="1" applyBorder="1"/>
    <xf numFmtId="0" fontId="9" fillId="0" borderId="10" xfId="2" applyFont="1" applyBorder="1" applyAlignment="1">
      <alignment horizontal="center"/>
    </xf>
    <xf numFmtId="0" fontId="9" fillId="0" borderId="11" xfId="2" applyFont="1" applyBorder="1" applyAlignment="1">
      <alignment horizontal="center"/>
    </xf>
    <xf numFmtId="0" fontId="17" fillId="0" borderId="12" xfId="2" applyFont="1" applyBorder="1" applyAlignment="1">
      <alignment horizontal="center"/>
    </xf>
    <xf numFmtId="0" fontId="17" fillId="0" borderId="13" xfId="2" applyFont="1" applyBorder="1" applyAlignment="1">
      <alignment horizontal="center"/>
    </xf>
    <xf numFmtId="0" fontId="5" fillId="0" borderId="1" xfId="2" applyFont="1" applyBorder="1" applyAlignment="1">
      <alignment horizontal="left" vertical="center"/>
    </xf>
    <xf numFmtId="14" fontId="18" fillId="0" borderId="10" xfId="2" quotePrefix="1" applyNumberFormat="1" applyFont="1" applyBorder="1" applyAlignment="1">
      <alignment horizontal="right"/>
    </xf>
    <xf numFmtId="14" fontId="10" fillId="0" borderId="10" xfId="2" quotePrefix="1" applyNumberFormat="1" applyFont="1" applyBorder="1" applyAlignment="1">
      <alignment horizontal="right"/>
    </xf>
    <xf numFmtId="0" fontId="10" fillId="0" borderId="10" xfId="2" applyFont="1" applyBorder="1" applyAlignment="1">
      <alignment horizontal="center"/>
    </xf>
    <xf numFmtId="9" fontId="9" fillId="0" borderId="10" xfId="2" applyNumberFormat="1" applyFont="1" applyBorder="1"/>
    <xf numFmtId="166" fontId="9" fillId="0" borderId="10" xfId="2" applyNumberFormat="1" applyFont="1" applyBorder="1"/>
    <xf numFmtId="167" fontId="9" fillId="0" borderId="10" xfId="2" applyNumberFormat="1" applyFont="1" applyBorder="1"/>
    <xf numFmtId="168" fontId="9" fillId="0" borderId="10" xfId="2" applyNumberFormat="1" applyFont="1" applyBorder="1"/>
    <xf numFmtId="3" fontId="10" fillId="0" borderId="10" xfId="2" applyNumberFormat="1" applyFont="1" applyBorder="1" applyAlignment="1">
      <alignment horizontal="center" wrapText="1"/>
    </xf>
    <xf numFmtId="3" fontId="10" fillId="0" borderId="11" xfId="2" applyNumberFormat="1" applyFont="1" applyBorder="1" applyAlignment="1">
      <alignment horizontal="center"/>
    </xf>
    <xf numFmtId="168" fontId="6" fillId="0" borderId="14" xfId="2" applyNumberFormat="1" applyFont="1" applyBorder="1"/>
    <xf numFmtId="168" fontId="5" fillId="0" borderId="0" xfId="2" applyNumberFormat="1" applyFont="1"/>
    <xf numFmtId="0" fontId="5" fillId="0" borderId="10" xfId="2" applyFont="1" applyBorder="1"/>
    <xf numFmtId="3" fontId="10" fillId="0" borderId="10" xfId="2" applyNumberFormat="1" applyFont="1" applyBorder="1" applyAlignment="1">
      <alignment horizontal="center"/>
    </xf>
    <xf numFmtId="4" fontId="9" fillId="0" borderId="10" xfId="2" applyNumberFormat="1" applyFont="1" applyBorder="1"/>
    <xf numFmtId="9" fontId="9" fillId="2" borderId="10" xfId="2" applyNumberFormat="1" applyFont="1" applyFill="1" applyBorder="1"/>
    <xf numFmtId="0" fontId="18" fillId="0" borderId="10" xfId="2" applyFont="1" applyBorder="1" applyAlignment="1">
      <alignment horizontal="center"/>
    </xf>
    <xf numFmtId="0" fontId="18" fillId="0" borderId="10" xfId="2" applyFont="1" applyBorder="1"/>
    <xf numFmtId="4" fontId="5" fillId="0" borderId="10" xfId="2" applyNumberFormat="1" applyFont="1" applyBorder="1"/>
    <xf numFmtId="9" fontId="18" fillId="0" borderId="10" xfId="2" applyNumberFormat="1" applyFont="1" applyBorder="1"/>
    <xf numFmtId="164" fontId="3" fillId="0" borderId="0" xfId="1" applyNumberFormat="1" applyFont="1" applyFill="1"/>
    <xf numFmtId="0" fontId="5" fillId="0" borderId="1" xfId="2" applyFont="1" applyBorder="1" applyAlignment="1">
      <alignment vertical="center"/>
    </xf>
    <xf numFmtId="9" fontId="9" fillId="3" borderId="10" xfId="2" applyNumberFormat="1" applyFont="1" applyFill="1" applyBorder="1"/>
    <xf numFmtId="0" fontId="9" fillId="4" borderId="10" xfId="2" applyFont="1" applyFill="1" applyBorder="1" applyAlignment="1">
      <alignment horizontal="center"/>
    </xf>
    <xf numFmtId="0" fontId="5" fillId="4" borderId="10" xfId="2" applyFont="1" applyFill="1" applyBorder="1"/>
    <xf numFmtId="14" fontId="18" fillId="4" borderId="10" xfId="2" quotePrefix="1" applyNumberFormat="1" applyFont="1" applyFill="1" applyBorder="1" applyAlignment="1">
      <alignment horizontal="right"/>
    </xf>
    <xf numFmtId="0" fontId="10" fillId="4" borderId="10" xfId="2" applyFont="1" applyFill="1" applyBorder="1" applyAlignment="1">
      <alignment horizontal="center"/>
    </xf>
    <xf numFmtId="0" fontId="9" fillId="4" borderId="10" xfId="2" applyFont="1" applyFill="1" applyBorder="1"/>
    <xf numFmtId="4" fontId="9" fillId="4" borderId="10" xfId="2" applyNumberFormat="1" applyFont="1" applyFill="1" applyBorder="1"/>
    <xf numFmtId="9" fontId="9" fillId="4" borderId="10" xfId="2" applyNumberFormat="1" applyFont="1" applyFill="1" applyBorder="1"/>
    <xf numFmtId="167" fontId="9" fillId="4" borderId="10" xfId="2" applyNumberFormat="1" applyFont="1" applyFill="1" applyBorder="1"/>
    <xf numFmtId="168" fontId="9" fillId="4" borderId="10" xfId="2" applyNumberFormat="1" applyFont="1" applyFill="1" applyBorder="1"/>
    <xf numFmtId="3" fontId="10" fillId="4" borderId="10" xfId="2" applyNumberFormat="1" applyFont="1" applyFill="1" applyBorder="1" applyAlignment="1">
      <alignment horizontal="center"/>
    </xf>
    <xf numFmtId="3" fontId="10" fillId="4" borderId="11" xfId="2" applyNumberFormat="1" applyFont="1" applyFill="1" applyBorder="1" applyAlignment="1">
      <alignment horizontal="center"/>
    </xf>
    <xf numFmtId="168" fontId="6" fillId="4" borderId="14" xfId="2" applyNumberFormat="1" applyFont="1" applyFill="1" applyBorder="1"/>
    <xf numFmtId="164" fontId="5" fillId="4" borderId="0" xfId="1" applyNumberFormat="1" applyFont="1" applyFill="1"/>
    <xf numFmtId="168" fontId="5" fillId="4" borderId="0" xfId="2" applyNumberFormat="1" applyFont="1" applyFill="1"/>
    <xf numFmtId="0" fontId="5" fillId="4" borderId="0" xfId="2" applyFont="1" applyFill="1"/>
    <xf numFmtId="3" fontId="10" fillId="0" borderId="10" xfId="2" applyNumberFormat="1" applyFont="1" applyBorder="1" applyAlignment="1">
      <alignment horizontal="center" vertical="center" wrapText="1"/>
    </xf>
    <xf numFmtId="0" fontId="5" fillId="0" borderId="4" xfId="2" applyFont="1" applyBorder="1"/>
    <xf numFmtId="2" fontId="9" fillId="0" borderId="10" xfId="2" applyNumberFormat="1" applyFont="1" applyBorder="1"/>
    <xf numFmtId="0" fontId="3" fillId="0" borderId="2" xfId="2" applyFont="1" applyBorder="1"/>
    <xf numFmtId="14" fontId="18" fillId="0" borderId="10" xfId="2" applyNumberFormat="1" applyFont="1" applyBorder="1"/>
    <xf numFmtId="0" fontId="4" fillId="0" borderId="10" xfId="2" applyFont="1" applyBorder="1" applyAlignment="1">
      <alignment horizontal="center"/>
    </xf>
    <xf numFmtId="167" fontId="19" fillId="0" borderId="10" xfId="2" applyNumberFormat="1" applyFont="1" applyBorder="1"/>
    <xf numFmtId="9" fontId="19" fillId="0" borderId="10" xfId="2" applyNumberFormat="1" applyFont="1" applyBorder="1"/>
    <xf numFmtId="0" fontId="19" fillId="0" borderId="10" xfId="2" applyFont="1" applyBorder="1"/>
    <xf numFmtId="2" fontId="19" fillId="0" borderId="10" xfId="2" applyNumberFormat="1" applyFont="1" applyBorder="1"/>
    <xf numFmtId="168" fontId="19" fillId="0" borderId="10" xfId="2" applyNumberFormat="1" applyFont="1" applyBorder="1"/>
    <xf numFmtId="168" fontId="20" fillId="0" borderId="14" xfId="2" applyNumberFormat="1" applyFont="1" applyBorder="1"/>
    <xf numFmtId="0" fontId="12" fillId="0" borderId="2" xfId="2" applyFont="1" applyBorder="1"/>
    <xf numFmtId="0" fontId="12" fillId="0" borderId="2" xfId="2" applyFont="1" applyBorder="1" applyAlignment="1">
      <alignment horizontal="left" wrapText="1"/>
    </xf>
    <xf numFmtId="0" fontId="12" fillId="0" borderId="3" xfId="2" applyFont="1" applyBorder="1" applyAlignment="1">
      <alignment horizontal="left" wrapText="1"/>
    </xf>
    <xf numFmtId="0" fontId="12" fillId="0" borderId="4" xfId="2" applyFont="1" applyBorder="1" applyAlignment="1">
      <alignment horizontal="left" wrapText="1"/>
    </xf>
    <xf numFmtId="168" fontId="18" fillId="0" borderId="10" xfId="2" applyNumberFormat="1" applyFont="1" applyBorder="1"/>
    <xf numFmtId="3" fontId="21" fillId="0" borderId="10" xfId="2" applyNumberFormat="1" applyFont="1" applyBorder="1" applyAlignment="1">
      <alignment horizontal="center" vertical="center" wrapText="1"/>
    </xf>
    <xf numFmtId="0" fontId="9" fillId="0" borderId="10" xfId="2" applyFont="1" applyBorder="1" applyAlignment="1">
      <alignment horizontal="center" vertical="center"/>
    </xf>
    <xf numFmtId="164" fontId="9" fillId="0" borderId="10" xfId="1" applyNumberFormat="1" applyFont="1" applyFill="1" applyBorder="1"/>
    <xf numFmtId="164" fontId="19" fillId="0" borderId="10" xfId="1" applyNumberFormat="1" applyFont="1" applyFill="1" applyBorder="1"/>
    <xf numFmtId="43" fontId="19" fillId="0" borderId="10" xfId="1" applyFont="1" applyFill="1" applyBorder="1" applyAlignment="1" applyProtection="1"/>
    <xf numFmtId="164" fontId="19" fillId="0" borderId="10" xfId="1" applyNumberFormat="1" applyFont="1" applyFill="1" applyBorder="1" applyAlignment="1" applyProtection="1"/>
    <xf numFmtId="0" fontId="22" fillId="0" borderId="10" xfId="0" applyFont="1" applyBorder="1" applyAlignment="1">
      <alignment horizontal="center" vertical="center"/>
    </xf>
    <xf numFmtId="0" fontId="22" fillId="0" borderId="2" xfId="0" applyFont="1" applyBorder="1" applyAlignment="1">
      <alignment vertical="center"/>
    </xf>
    <xf numFmtId="0" fontId="22" fillId="0" borderId="3" xfId="0" applyFont="1" applyBorder="1" applyAlignment="1">
      <alignment vertical="center"/>
    </xf>
    <xf numFmtId="0" fontId="22" fillId="0" borderId="4" xfId="0" applyFont="1" applyBorder="1" applyAlignment="1">
      <alignment vertical="center"/>
    </xf>
    <xf numFmtId="168" fontId="19" fillId="0" borderId="10" xfId="2" applyNumberFormat="1" applyFont="1" applyBorder="1" applyAlignment="1">
      <alignment horizontal="center"/>
    </xf>
    <xf numFmtId="0" fontId="5" fillId="0" borderId="2" xfId="2" applyFont="1" applyBorder="1" applyAlignment="1">
      <alignment horizontal="left" wrapText="1"/>
    </xf>
    <xf numFmtId="0" fontId="18" fillId="0" borderId="3" xfId="2" applyFont="1" applyBorder="1" applyAlignment="1">
      <alignment horizontal="right" wrapText="1"/>
    </xf>
    <xf numFmtId="0" fontId="9" fillId="0" borderId="3" xfId="2" applyFont="1" applyBorder="1" applyAlignment="1">
      <alignment horizontal="left" wrapText="1"/>
    </xf>
    <xf numFmtId="169" fontId="9" fillId="0" borderId="10" xfId="2" applyNumberFormat="1" applyFont="1" applyBorder="1"/>
    <xf numFmtId="168" fontId="10" fillId="0" borderId="10" xfId="2" applyNumberFormat="1" applyFont="1" applyBorder="1"/>
    <xf numFmtId="170" fontId="19" fillId="0" borderId="10" xfId="1" applyNumberFormat="1" applyFont="1" applyFill="1" applyBorder="1"/>
    <xf numFmtId="171" fontId="19" fillId="0" borderId="10" xfId="1" applyNumberFormat="1" applyFont="1" applyFill="1" applyBorder="1"/>
    <xf numFmtId="164" fontId="4" fillId="0" borderId="10" xfId="1" applyNumberFormat="1" applyFont="1" applyFill="1" applyBorder="1"/>
    <xf numFmtId="0" fontId="22" fillId="0" borderId="2" xfId="0" applyFont="1" applyBorder="1" applyAlignment="1">
      <alignment horizontal="left" vertical="center"/>
    </xf>
    <xf numFmtId="0" fontId="22" fillId="0" borderId="3" xfId="0" applyFont="1" applyBorder="1" applyAlignment="1">
      <alignment horizontal="left" vertical="center"/>
    </xf>
    <xf numFmtId="0" fontId="22" fillId="0" borderId="4" xfId="0" applyFont="1" applyBorder="1" applyAlignment="1">
      <alignment horizontal="left" vertical="center"/>
    </xf>
    <xf numFmtId="168" fontId="4" fillId="0" borderId="10" xfId="2" applyNumberFormat="1" applyFont="1" applyBorder="1"/>
    <xf numFmtId="172" fontId="23" fillId="0" borderId="10" xfId="0" applyNumberFormat="1" applyFont="1" applyBorder="1" applyAlignment="1">
      <alignment vertical="center"/>
    </xf>
    <xf numFmtId="173" fontId="19" fillId="0" borderId="10" xfId="1" applyNumberFormat="1" applyFont="1" applyFill="1" applyBorder="1" applyAlignment="1" applyProtection="1"/>
    <xf numFmtId="0" fontId="19" fillId="0" borderId="2" xfId="2" applyFont="1" applyBorder="1"/>
    <xf numFmtId="0" fontId="19" fillId="0" borderId="10" xfId="2" applyFont="1" applyBorder="1" applyAlignment="1">
      <alignment horizontal="left"/>
    </xf>
    <xf numFmtId="170" fontId="19" fillId="0" borderId="10" xfId="1" applyNumberFormat="1" applyFont="1" applyFill="1" applyBorder="1" applyAlignment="1" applyProtection="1"/>
    <xf numFmtId="3" fontId="3" fillId="0" borderId="7" xfId="2" applyNumberFormat="1" applyFont="1" applyBorder="1"/>
    <xf numFmtId="3" fontId="3" fillId="0" borderId="7" xfId="2" applyNumberFormat="1" applyFont="1" applyBorder="1" applyAlignment="1">
      <alignment horizontal="right"/>
    </xf>
    <xf numFmtId="168" fontId="3" fillId="0" borderId="7" xfId="2" applyNumberFormat="1" applyFont="1" applyBorder="1" applyAlignment="1">
      <alignment horizontal="left"/>
    </xf>
    <xf numFmtId="3" fontId="4" fillId="0" borderId="7" xfId="2" applyNumberFormat="1" applyFont="1" applyBorder="1"/>
    <xf numFmtId="3" fontId="3" fillId="0" borderId="7" xfId="2" applyNumberFormat="1" applyFont="1" applyBorder="1" applyAlignment="1">
      <alignment horizontal="center"/>
    </xf>
    <xf numFmtId="168" fontId="6" fillId="0" borderId="0" xfId="2" applyNumberFormat="1" applyFont="1"/>
    <xf numFmtId="0" fontId="24" fillId="0" borderId="0" xfId="2" applyFont="1"/>
    <xf numFmtId="3" fontId="24" fillId="0" borderId="0" xfId="2" applyNumberFormat="1" applyFont="1"/>
    <xf numFmtId="3" fontId="20" fillId="0" borderId="0" xfId="2" applyNumberFormat="1" applyFont="1"/>
    <xf numFmtId="3" fontId="20" fillId="0" borderId="0" xfId="2" applyNumberFormat="1" applyFont="1" applyAlignment="1">
      <alignment horizontal="center"/>
    </xf>
    <xf numFmtId="3" fontId="6" fillId="0" borderId="0" xfId="2" applyNumberFormat="1" applyFont="1"/>
    <xf numFmtId="0" fontId="22" fillId="0" borderId="0" xfId="2" applyFont="1" applyAlignment="1">
      <alignment horizontal="center"/>
    </xf>
    <xf numFmtId="2" fontId="22" fillId="0" borderId="0" xfId="2" applyNumberFormat="1" applyFont="1" applyAlignment="1">
      <alignment horizontal="center"/>
    </xf>
    <xf numFmtId="3" fontId="22" fillId="0" borderId="0" xfId="2" applyNumberFormat="1" applyFont="1" applyAlignment="1">
      <alignment horizontal="center"/>
    </xf>
    <xf numFmtId="3" fontId="22" fillId="0" borderId="0" xfId="2" applyNumberFormat="1" applyFont="1"/>
    <xf numFmtId="3" fontId="20" fillId="0" borderId="0" xfId="2" applyNumberFormat="1" applyFont="1" applyAlignment="1">
      <alignment horizontal="center"/>
    </xf>
    <xf numFmtId="164" fontId="5" fillId="0" borderId="0" xfId="2" applyNumberFormat="1" applyFont="1" applyAlignment="1">
      <alignment horizontal="center"/>
    </xf>
    <xf numFmtId="168" fontId="2" fillId="0" borderId="15" xfId="2" applyNumberFormat="1" applyFont="1" applyBorder="1" applyAlignment="1">
      <alignment horizontal="center"/>
    </xf>
    <xf numFmtId="168" fontId="2" fillId="0" borderId="16" xfId="2" applyNumberFormat="1" applyFont="1" applyBorder="1" applyAlignment="1">
      <alignment horizontal="center"/>
    </xf>
    <xf numFmtId="0" fontId="2" fillId="0" borderId="15" xfId="2" applyFont="1" applyBorder="1" applyAlignment="1">
      <alignment horizontal="center"/>
    </xf>
    <xf numFmtId="0" fontId="2" fillId="0" borderId="17" xfId="2" applyFont="1" applyBorder="1" applyAlignment="1">
      <alignment horizontal="center"/>
    </xf>
    <xf numFmtId="0" fontId="2" fillId="0" borderId="16" xfId="2" applyFont="1" applyBorder="1" applyAlignment="1">
      <alignment horizontal="center"/>
    </xf>
    <xf numFmtId="0" fontId="22" fillId="0" borderId="0" xfId="2" applyFont="1" applyAlignment="1">
      <alignment horizontal="center"/>
    </xf>
    <xf numFmtId="0" fontId="24" fillId="0" borderId="0" xfId="2" applyFont="1" applyAlignment="1">
      <alignment horizontal="center"/>
    </xf>
    <xf numFmtId="3" fontId="10" fillId="0" borderId="0" xfId="2" applyNumberFormat="1" applyFont="1"/>
    <xf numFmtId="3" fontId="22" fillId="0" borderId="0" xfId="2" applyNumberFormat="1" applyFont="1" applyAlignment="1">
      <alignment horizontal="center"/>
    </xf>
    <xf numFmtId="168" fontId="2" fillId="0" borderId="14" xfId="2" applyNumberFormat="1" applyFont="1" applyBorder="1"/>
    <xf numFmtId="168" fontId="25" fillId="0" borderId="14" xfId="2" applyNumberFormat="1" applyFont="1" applyBorder="1"/>
    <xf numFmtId="0" fontId="22" fillId="0" borderId="0" xfId="2" applyFont="1"/>
    <xf numFmtId="0" fontId="6" fillId="0" borderId="14" xfId="2" applyFont="1" applyBorder="1"/>
    <xf numFmtId="3" fontId="24" fillId="0" borderId="0" xfId="2" applyNumberFormat="1" applyFont="1" applyAlignment="1">
      <alignment horizontal="center"/>
    </xf>
    <xf numFmtId="168" fontId="5" fillId="0" borderId="14" xfId="2" applyNumberFormat="1" applyFont="1" applyBorder="1"/>
    <xf numFmtId="168" fontId="13" fillId="0" borderId="14" xfId="2" applyNumberFormat="1" applyFont="1" applyBorder="1"/>
    <xf numFmtId="0" fontId="6" fillId="0" borderId="14" xfId="2" applyFont="1" applyBorder="1" applyAlignment="1">
      <alignment horizontal="center"/>
    </xf>
    <xf numFmtId="0" fontId="6" fillId="0" borderId="18" xfId="2" applyFont="1" applyBorder="1" applyAlignment="1">
      <alignment horizontal="center"/>
    </xf>
    <xf numFmtId="168" fontId="6" fillId="0" borderId="14" xfId="2" applyNumberFormat="1" applyFont="1" applyBorder="1" applyAlignment="1">
      <alignment horizontal="center"/>
    </xf>
    <xf numFmtId="164" fontId="5" fillId="0" borderId="0" xfId="2" applyNumberFormat="1" applyFont="1"/>
    <xf numFmtId="168" fontId="2" fillId="0" borderId="15" xfId="2" applyNumberFormat="1" applyFont="1" applyBorder="1"/>
    <xf numFmtId="0" fontId="3" fillId="0" borderId="14" xfId="2" applyFont="1" applyBorder="1" applyAlignment="1">
      <alignment horizontal="center"/>
    </xf>
    <xf numFmtId="168" fontId="3" fillId="0" borderId="0" xfId="2" applyNumberFormat="1" applyFont="1"/>
    <xf numFmtId="168" fontId="24" fillId="0" borderId="14" xfId="2" applyNumberFormat="1" applyFont="1" applyBorder="1"/>
    <xf numFmtId="0" fontId="24" fillId="0" borderId="14" xfId="2" applyFont="1" applyBorder="1"/>
    <xf numFmtId="168" fontId="22" fillId="0" borderId="14" xfId="2" applyNumberFormat="1" applyFont="1" applyBorder="1" applyAlignment="1">
      <alignment horizontal="right"/>
    </xf>
    <xf numFmtId="168" fontId="22" fillId="0" borderId="14" xfId="2" applyNumberFormat="1" applyFont="1" applyBorder="1"/>
    <xf numFmtId="0" fontId="26" fillId="0" borderId="0" xfId="2" applyFont="1" applyAlignment="1">
      <alignment horizontal="right"/>
    </xf>
    <xf numFmtId="0" fontId="26" fillId="0" borderId="0" xfId="2" applyFont="1" applyAlignment="1">
      <alignment horizontal="left"/>
    </xf>
    <xf numFmtId="0" fontId="22" fillId="0" borderId="14" xfId="2" applyFont="1" applyBorder="1" applyAlignment="1">
      <alignment horizontal="center"/>
    </xf>
    <xf numFmtId="168" fontId="5" fillId="0" borderId="0" xfId="2" applyNumberFormat="1" applyFont="1" applyAlignment="1">
      <alignment horizontal="center"/>
    </xf>
    <xf numFmtId="0" fontId="8" fillId="0" borderId="0" xfId="2" applyFont="1"/>
    <xf numFmtId="164" fontId="17" fillId="0" borderId="0" xfId="1" applyNumberFormat="1" applyFont="1" applyFill="1"/>
    <xf numFmtId="0" fontId="17" fillId="0" borderId="0" xfId="2" applyFont="1"/>
    <xf numFmtId="168" fontId="9" fillId="0" borderId="0" xfId="2" applyNumberFormat="1" applyFont="1"/>
    <xf numFmtId="168" fontId="24" fillId="0" borderId="0" xfId="2" applyNumberFormat="1" applyFont="1"/>
    <xf numFmtId="174" fontId="6" fillId="0" borderId="0" xfId="2" applyNumberFormat="1" applyFont="1"/>
    <xf numFmtId="9" fontId="29" fillId="0" borderId="10" xfId="2" applyNumberFormat="1" applyFont="1" applyBorder="1"/>
  </cellXfs>
  <cellStyles count="3">
    <cellStyle name="Comma" xfId="1" builtinId="3"/>
    <cellStyle name="Normal" xfId="0" builtinId="0"/>
    <cellStyle name="Normal 10" xfId="2" xr:uid="{E22F6CAF-C308-4C84-A9A5-C0FB2CC4EF8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3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2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rogram%20Files%20(x86)\VnToolsExcel\VnTools-Excel.xla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3.%20L&#432;&#417;ng%20t&#7915;%202023/L&#432;&#417;ng%202023/0.%20Luong%20NS%20T9%20nam%202015/L&#432;&#417;ng%20NS%20nam%202022/B&#7843;ng%20l&#432;&#417;ng%20n&#259;m%20202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MN%20&#272;&#7913;c%20Giang\2705\N&#259;m%202025\THANG%206%202025\T6.2025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huong\c\Hanoi\DongAnh\Du%20Toan%20TK%20Ngoc%20Thuy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MN%20&#272;&#7913;c%20Giang\2705\N&#259;m%202025\THANG%207%202025\T7.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definedNames>
      <definedName name="vnd"/>
    </defined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V, Quét dọn"/>
      <sheetName val="CTP n22 (3)"/>
      <sheetName val="LT12.2022  (nháp)"/>
      <sheetName val="M09 in 3 liên T11 (3)"/>
      <sheetName val="Thu nhap nhap 2022"/>
      <sheetName val="Chi Phúc lợi tập thể 2022"/>
      <sheetName val="NH.12"/>
      <sheetName val="M09 in 3 liên T12 (3714)"/>
      <sheetName val="thu7 T12n22"/>
      <sheetName val="BT T12.n22"/>
      <sheetName val="BĐT12.2022"/>
      <sheetName val="M09 in 3 liên T11 (2)"/>
      <sheetName val="LT12.2022 "/>
      <sheetName val="TL thăng hạng T12.2022"/>
      <sheetName val="BHXH T12.22"/>
      <sheetName val="Gui NH"/>
      <sheetName val="M09 in 3 liên T11 (3716)"/>
      <sheetName val="Thưởng, kiến tập"/>
      <sheetName val="M09 in 3 liên T11 (3714)"/>
      <sheetName val="Hè T8.n22 (2)"/>
      <sheetName val="thu7 T11n22"/>
      <sheetName val="BT T11.n22 "/>
      <sheetName val="M09 in 3 liên T10 (TSN)"/>
      <sheetName val="CK bt,t7 T10"/>
      <sheetName val="thu7 T10n22"/>
      <sheetName val="BT T10.n22 (2)"/>
      <sheetName val="M09 in 3 liên T11"/>
      <sheetName val="CK T11"/>
      <sheetName val="BĐT11.2022"/>
      <sheetName val="CTP n22 (2)"/>
      <sheetName val="LT11.2022 "/>
      <sheetName val="BHXH T11.22"/>
      <sheetName val="M09 in 3 liên T9 (TSN) (2)"/>
      <sheetName val="CK T10 bt,t7"/>
      <sheetName val="thu7 T9n22 "/>
      <sheetName val="BT T9.n22"/>
      <sheetName val="Ck T10"/>
      <sheetName val="M09 in 3 liên T10"/>
      <sheetName val="CTP n22"/>
      <sheetName val="LT10.2022  "/>
      <sheetName val="BHXH T10.22"/>
      <sheetName val="BĐT10.2022"/>
      <sheetName val="NH"/>
      <sheetName val="ck T9"/>
      <sheetName val="M09 in 3 liên T9 (TSN)"/>
      <sheetName val="Thu7 T8.n22 "/>
      <sheetName val="BT T8.n22"/>
      <sheetName val="Hè T8.n22"/>
      <sheetName val="M09 in 3 liên T9"/>
      <sheetName val="BĐT9.2022"/>
      <sheetName val="BHXH T9.2022"/>
      <sheetName val="BHXH T8.2022  (2)"/>
      <sheetName val="LT9.2022 "/>
      <sheetName val="ck8"/>
      <sheetName val="M09 in 3 liên T8 (TSN)"/>
      <sheetName val="Hè  T7.n22 "/>
      <sheetName val="BT T7.n22 "/>
      <sheetName val="M09 in 3 liên T8 "/>
      <sheetName val="BĐT8.2022 (2)"/>
      <sheetName val="BĐT8.2022"/>
      <sheetName val="LT8.2022"/>
      <sheetName val="BHXH T8.2022 "/>
      <sheetName val="M09 in 3 liên T6 (3)"/>
      <sheetName val="Bảng kê BT"/>
      <sheetName val="ck7"/>
      <sheetName val="Hè  T6.n22 "/>
      <sheetName val="BT T6.n22 "/>
      <sheetName val="M09 in 3 liên T7"/>
      <sheetName val="BĐT7.2022"/>
      <sheetName val="LT7.2022"/>
      <sheetName val="BHXHT7.2022"/>
      <sheetName val="BHXH T6.2022 (2)"/>
      <sheetName val="M09 in 3 liên T6 (2)"/>
      <sheetName val="ck6"/>
      <sheetName val="thu7 T5n22"/>
      <sheetName val="BT T5.n22 "/>
      <sheetName val="M09 in 3 liên T6"/>
      <sheetName val="BĐT6.2022"/>
      <sheetName val="BHXH T6.2022"/>
      <sheetName val="LT6.2022 "/>
      <sheetName val="CTP T6.22 (2)"/>
      <sheetName val="M09 in 3 liên T5 (2)"/>
      <sheetName val="ck5"/>
      <sheetName val="BT T4.n22"/>
      <sheetName val="M09 in 3 liên T5"/>
      <sheetName val="BĐT5.2022"/>
      <sheetName val="CTP T5.22"/>
      <sheetName val="LT5.2022"/>
      <sheetName val="M09 in 3 liên T4"/>
      <sheetName val="ck4"/>
      <sheetName val="BĐT4.2022 "/>
      <sheetName val="LT4.2022  "/>
      <sheetName val="CTP T4.22"/>
      <sheetName val="M09 in 3 liên T3"/>
      <sheetName val="ck3"/>
      <sheetName val="BĐT3.2022"/>
      <sheetName val="LT3.2022 "/>
      <sheetName val="TL nâng L 2022 (2)"/>
      <sheetName val="CTP T3.22"/>
      <sheetName val="M09 in 3 liên T2"/>
      <sheetName val="ck2"/>
      <sheetName val="BĐT2.2022"/>
      <sheetName val="TL nâng L 2022"/>
      <sheetName val="CTP T2.22"/>
      <sheetName val="LT2.2022"/>
      <sheetName val="M09 in 3 liên T1"/>
      <sheetName val="ck1"/>
      <sheetName val="BĐT1.2022"/>
      <sheetName val="BKe"/>
      <sheetName val="BV T1.22"/>
      <sheetName val="TL thăng hạng 2022"/>
      <sheetName val="LuongT1.2022"/>
      <sheetName val="CTP T12.21"/>
      <sheetName val="Bang ke 1.1.2022"/>
      <sheetName val="Sheet3"/>
      <sheetName val="LuongT1.2022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>
        <row r="18">
          <cell r="F18">
            <v>217956151</v>
          </cell>
        </row>
      </sheetData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>
        <row r="10">
          <cell r="T10">
            <v>9522526</v>
          </cell>
        </row>
      </sheetData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>
        <row r="45">
          <cell r="AC45">
            <v>1923628.7400000002</v>
          </cell>
          <cell r="AE45">
            <v>514371.84000000008</v>
          </cell>
        </row>
      </sheetData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i BTR T7"/>
      <sheetName val="09 T4.25 (3714)"/>
      <sheetName val="Bảng TH Bán trú, Thứ 7 T4.25"/>
      <sheetName val="CTP T4.25"/>
      <sheetName val="CTP T6.25"/>
      <sheetName val="TH Lương 09 - K B T06.25"/>
      <sheetName val=" LT6.25(14900"/>
      <sheetName val=" LT 6.25(850 chuẩn)"/>
      <sheetName val=" LT 6.25(2340k)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t cao the 35kV"/>
      <sheetName val="Ct ha the"/>
      <sheetName val="CT TBA"/>
      <sheetName val="VLNC-Trung ap"/>
      <sheetName val="VLNChathe"/>
      <sheetName val="VLNChathe (2)"/>
      <sheetName val="Thinghiem"/>
      <sheetName val="THTN"/>
      <sheetName val="Du Toan"/>
      <sheetName val="THDT"/>
      <sheetName val="xd"/>
      <sheetName val="Cto"/>
      <sheetName val="thu hoi (2)"/>
      <sheetName val="000"/>
    </sheetNames>
    <sheetDataSet>
      <sheetData sheetId="0" refreshError="1"/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 refreshError="1"/>
      <sheetData sheetId="10"/>
      <sheetData sheetId="11"/>
      <sheetData sheetId="12" refreshError="1"/>
      <sheetData sheetId="1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i BTR T7"/>
      <sheetName val="09 T4.25 (3714)"/>
      <sheetName val="Bảng TH Bán trú, Thứ 7 T4.25"/>
      <sheetName val="CTP T4.25"/>
      <sheetName val="CTP T7.25"/>
      <sheetName val="TH Lương 09 - K B T07.25"/>
      <sheetName val=" LT7.25(14900"/>
      <sheetName val=" LT 7.25(850 chuẩn)"/>
      <sheetName val=" LT 7.25(2340k)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808D9C-A4AF-45AD-BED2-A0FC87DBFA31}">
  <sheetPr>
    <tabColor theme="3" tint="0.39997558519241921"/>
  </sheetPr>
  <dimension ref="A1:AE146"/>
  <sheetViews>
    <sheetView zoomScaleNormal="100" workbookViewId="0">
      <pane xSplit="6" ySplit="8" topLeftCell="I21" activePane="bottomRight" state="frozen"/>
      <selection pane="topRight" activeCell="G1" sqref="G1"/>
      <selection pane="bottomLeft" activeCell="A9" sqref="A9"/>
      <selection pane="bottomRight" activeCell="W24" sqref="W24"/>
    </sheetView>
  </sheetViews>
  <sheetFormatPr defaultColWidth="9" defaultRowHeight="16.5"/>
  <cols>
    <col min="1" max="1" width="4.75" style="5" customWidth="1"/>
    <col min="2" max="2" width="20.75" style="5" customWidth="1"/>
    <col min="3" max="3" width="9.5" style="5" customWidth="1"/>
    <col min="4" max="4" width="13.5" style="5" customWidth="1"/>
    <col min="5" max="5" width="4.125" style="12" customWidth="1"/>
    <col min="6" max="6" width="7.25" style="5" customWidth="1"/>
    <col min="7" max="7" width="8.75" style="5" customWidth="1"/>
    <col min="8" max="10" width="5.5" style="5" customWidth="1"/>
    <col min="11" max="11" width="7.5" style="5" customWidth="1"/>
    <col min="12" max="12" width="5.75" style="5" customWidth="1"/>
    <col min="13" max="13" width="7.75" style="5" customWidth="1"/>
    <col min="14" max="14" width="11.5" style="5" customWidth="1"/>
    <col min="15" max="15" width="8" style="5" customWidth="1"/>
    <col min="16" max="16" width="9.75" style="5" customWidth="1"/>
    <col min="17" max="17" width="8.5" style="5" customWidth="1"/>
    <col min="18" max="18" width="11" style="5" customWidth="1"/>
    <col min="19" max="19" width="10.75" style="5" customWidth="1"/>
    <col min="20" max="20" width="11.5" style="5" customWidth="1"/>
    <col min="21" max="21" width="10.75" style="5" customWidth="1"/>
    <col min="22" max="22" width="12.125" style="5" customWidth="1"/>
    <col min="23" max="23" width="7.5" style="6" customWidth="1"/>
    <col min="24" max="24" width="7.5" style="6" hidden="1" customWidth="1"/>
    <col min="25" max="25" width="12.875" style="7" hidden="1" customWidth="1"/>
    <col min="26" max="26" width="14.75" style="7" hidden="1" customWidth="1"/>
    <col min="27" max="28" width="14.5" style="7" hidden="1" customWidth="1"/>
    <col min="29" max="29" width="13.25" style="5" hidden="1" customWidth="1"/>
    <col min="30" max="30" width="14" style="8" hidden="1" customWidth="1"/>
    <col min="31" max="31" width="9.875" style="5" hidden="1" customWidth="1"/>
    <col min="32" max="16384" width="9" style="5"/>
  </cols>
  <sheetData>
    <row r="1" spans="1:31" ht="21" customHeight="1">
      <c r="A1" s="1" t="s">
        <v>0</v>
      </c>
      <c r="B1" s="2"/>
      <c r="C1" s="2"/>
      <c r="D1" s="2"/>
      <c r="E1" s="3"/>
      <c r="F1" s="2"/>
      <c r="G1" s="2"/>
      <c r="H1" s="2"/>
      <c r="I1" s="4"/>
      <c r="Q1" s="4"/>
      <c r="R1" s="4"/>
      <c r="S1" s="4"/>
      <c r="T1" s="4"/>
      <c r="U1" s="4"/>
      <c r="V1" s="4"/>
    </row>
    <row r="2" spans="1:31" ht="24.75" customHeight="1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10"/>
    </row>
    <row r="3" spans="1:31" ht="9" customHeight="1">
      <c r="A3" s="11"/>
      <c r="J3" s="13"/>
      <c r="K3" s="13"/>
      <c r="L3" s="13"/>
      <c r="M3" s="14"/>
      <c r="N3" s="14"/>
      <c r="O3" s="14"/>
      <c r="P3" s="14"/>
      <c r="Q3" s="15"/>
      <c r="R3" s="15"/>
      <c r="S3" s="4"/>
      <c r="T3" s="4"/>
      <c r="U3" s="4"/>
      <c r="V3" s="4"/>
    </row>
    <row r="4" spans="1:31" s="11" customFormat="1" ht="26.25" customHeight="1">
      <c r="A4" s="16" t="s">
        <v>2</v>
      </c>
      <c r="B4" s="16" t="s">
        <v>3</v>
      </c>
      <c r="C4" s="16" t="s">
        <v>4</v>
      </c>
      <c r="D4" s="16" t="s">
        <v>5</v>
      </c>
      <c r="E4" s="17" t="s">
        <v>6</v>
      </c>
      <c r="F4" s="18" t="s">
        <v>7</v>
      </c>
      <c r="G4" s="19"/>
      <c r="H4" s="19"/>
      <c r="I4" s="19"/>
      <c r="J4" s="19"/>
      <c r="K4" s="19"/>
      <c r="L4" s="19"/>
      <c r="M4" s="20"/>
      <c r="N4" s="21" t="s">
        <v>8</v>
      </c>
      <c r="O4" s="22"/>
      <c r="P4" s="22"/>
      <c r="Q4" s="22"/>
      <c r="R4" s="22"/>
      <c r="S4" s="23"/>
      <c r="T4" s="24" t="s">
        <v>9</v>
      </c>
      <c r="U4" s="25" t="s">
        <v>10</v>
      </c>
      <c r="V4" s="24" t="s">
        <v>11</v>
      </c>
      <c r="W4" s="24" t="s">
        <v>12</v>
      </c>
      <c r="X4" s="26"/>
      <c r="Y4" s="27" t="s">
        <v>13</v>
      </c>
      <c r="Z4" s="28">
        <v>0.03</v>
      </c>
      <c r="AA4" s="28">
        <v>0.01</v>
      </c>
      <c r="AB4" s="29">
        <v>5.0000000000000001E-3</v>
      </c>
      <c r="AC4" s="28" t="s">
        <v>14</v>
      </c>
      <c r="AD4" s="30"/>
    </row>
    <row r="5" spans="1:31" s="11" customFormat="1" ht="20.25" customHeight="1">
      <c r="A5" s="31"/>
      <c r="B5" s="31"/>
      <c r="C5" s="31"/>
      <c r="D5" s="31"/>
      <c r="E5" s="32"/>
      <c r="F5" s="24" t="s">
        <v>15</v>
      </c>
      <c r="G5" s="24" t="s">
        <v>16</v>
      </c>
      <c r="H5" s="33" t="s">
        <v>17</v>
      </c>
      <c r="I5" s="34" t="s">
        <v>18</v>
      </c>
      <c r="J5" s="35"/>
      <c r="K5" s="35"/>
      <c r="L5" s="35"/>
      <c r="M5" s="36"/>
      <c r="N5" s="25" t="s">
        <v>19</v>
      </c>
      <c r="O5" s="33" t="s">
        <v>17</v>
      </c>
      <c r="P5" s="21" t="s">
        <v>20</v>
      </c>
      <c r="Q5" s="22"/>
      <c r="R5" s="22"/>
      <c r="S5" s="23"/>
      <c r="T5" s="37"/>
      <c r="U5" s="38"/>
      <c r="V5" s="37"/>
      <c r="W5" s="37"/>
      <c r="X5" s="39"/>
      <c r="Y5" s="40"/>
      <c r="Z5" s="41"/>
      <c r="AA5" s="41"/>
      <c r="AB5" s="42"/>
      <c r="AC5" s="41"/>
      <c r="AD5" s="30"/>
    </row>
    <row r="6" spans="1:31" s="11" customFormat="1" ht="28.5" customHeight="1">
      <c r="A6" s="31"/>
      <c r="B6" s="31"/>
      <c r="C6" s="31"/>
      <c r="D6" s="31"/>
      <c r="E6" s="32"/>
      <c r="F6" s="37"/>
      <c r="G6" s="37"/>
      <c r="H6" s="43"/>
      <c r="I6" s="33" t="s">
        <v>6</v>
      </c>
      <c r="J6" s="33" t="s">
        <v>21</v>
      </c>
      <c r="K6" s="33" t="s">
        <v>22</v>
      </c>
      <c r="L6" s="44" t="s">
        <v>23</v>
      </c>
      <c r="M6" s="45"/>
      <c r="N6" s="38"/>
      <c r="O6" s="43"/>
      <c r="P6" s="33" t="s">
        <v>6</v>
      </c>
      <c r="Q6" s="33" t="s">
        <v>21</v>
      </c>
      <c r="R6" s="33" t="s">
        <v>22</v>
      </c>
      <c r="S6" s="33" t="s">
        <v>23</v>
      </c>
      <c r="T6" s="37"/>
      <c r="U6" s="38"/>
      <c r="V6" s="37"/>
      <c r="W6" s="37"/>
      <c r="X6" s="39"/>
      <c r="Y6" s="40"/>
      <c r="Z6" s="41"/>
      <c r="AA6" s="41"/>
      <c r="AB6" s="42"/>
      <c r="AC6" s="41"/>
      <c r="AD6" s="30"/>
    </row>
    <row r="7" spans="1:31" s="11" customFormat="1" ht="18.75" customHeight="1">
      <c r="A7" s="46"/>
      <c r="B7" s="46"/>
      <c r="C7" s="46"/>
      <c r="D7" s="46"/>
      <c r="E7" s="47"/>
      <c r="F7" s="48"/>
      <c r="G7" s="48"/>
      <c r="H7" s="49"/>
      <c r="I7" s="50"/>
      <c r="J7" s="49"/>
      <c r="K7" s="49"/>
      <c r="L7" s="51" t="s">
        <v>24</v>
      </c>
      <c r="M7" s="51" t="s">
        <v>25</v>
      </c>
      <c r="N7" s="52"/>
      <c r="O7" s="49"/>
      <c r="P7" s="49"/>
      <c r="Q7" s="49"/>
      <c r="R7" s="49"/>
      <c r="S7" s="49"/>
      <c r="T7" s="48"/>
      <c r="U7" s="52"/>
      <c r="V7" s="48"/>
      <c r="W7" s="48"/>
      <c r="X7" s="53"/>
      <c r="Y7" s="54"/>
      <c r="Z7" s="55"/>
      <c r="AA7" s="55"/>
      <c r="AB7" s="56"/>
      <c r="AC7" s="55"/>
      <c r="AD7" s="30"/>
    </row>
    <row r="8" spans="1:31" s="11" customFormat="1" ht="13.5" customHeight="1">
      <c r="A8" s="57">
        <v>1</v>
      </c>
      <c r="B8" s="57">
        <v>2</v>
      </c>
      <c r="C8" s="57">
        <v>3</v>
      </c>
      <c r="D8" s="57"/>
      <c r="E8" s="57">
        <v>4</v>
      </c>
      <c r="F8" s="57">
        <v>5</v>
      </c>
      <c r="G8" s="57"/>
      <c r="H8" s="57">
        <v>6</v>
      </c>
      <c r="I8" s="57">
        <v>7</v>
      </c>
      <c r="J8" s="57">
        <v>8</v>
      </c>
      <c r="K8" s="57">
        <v>9</v>
      </c>
      <c r="L8" s="57">
        <v>10</v>
      </c>
      <c r="M8" s="57">
        <v>11</v>
      </c>
      <c r="N8" s="57">
        <v>12</v>
      </c>
      <c r="O8" s="57">
        <v>13</v>
      </c>
      <c r="P8" s="57">
        <v>14</v>
      </c>
      <c r="Q8" s="57">
        <v>15</v>
      </c>
      <c r="R8" s="57">
        <v>16</v>
      </c>
      <c r="S8" s="57">
        <v>17</v>
      </c>
      <c r="T8" s="57">
        <v>18</v>
      </c>
      <c r="U8" s="57">
        <v>19</v>
      </c>
      <c r="V8" s="57">
        <v>20</v>
      </c>
      <c r="W8" s="57">
        <v>21</v>
      </c>
      <c r="X8" s="58"/>
      <c r="Y8" s="59"/>
      <c r="Z8" s="59"/>
      <c r="AA8" s="60"/>
      <c r="AB8" s="60"/>
      <c r="AC8" s="60"/>
      <c r="AD8" s="30"/>
    </row>
    <row r="9" spans="1:31" ht="17.25" customHeight="1">
      <c r="A9" s="61" t="s">
        <v>26</v>
      </c>
      <c r="B9" s="62"/>
      <c r="C9" s="62"/>
      <c r="D9" s="62"/>
      <c r="E9" s="63"/>
      <c r="F9" s="62"/>
      <c r="G9" s="62"/>
      <c r="H9" s="62"/>
      <c r="I9" s="62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  <c r="V9" s="64"/>
      <c r="W9" s="65"/>
      <c r="X9" s="66"/>
      <c r="Y9" s="67"/>
      <c r="Z9" s="68"/>
      <c r="AA9" s="68"/>
      <c r="AB9" s="68"/>
      <c r="AC9" s="68"/>
    </row>
    <row r="10" spans="1:31" ht="36" customHeight="1">
      <c r="A10" s="65">
        <v>1</v>
      </c>
      <c r="B10" s="69" t="s">
        <v>27</v>
      </c>
      <c r="C10" s="70">
        <v>28502</v>
      </c>
      <c r="D10" s="71" t="s">
        <v>28</v>
      </c>
      <c r="E10" s="72" t="s">
        <v>29</v>
      </c>
      <c r="F10" s="62">
        <v>4.32</v>
      </c>
      <c r="G10" s="62"/>
      <c r="H10" s="73">
        <v>0</v>
      </c>
      <c r="I10" s="62">
        <v>0.5</v>
      </c>
      <c r="J10" s="62"/>
      <c r="K10" s="74">
        <f>(F10+H10*F10+I10)*35%</f>
        <v>1.6870000000000001</v>
      </c>
      <c r="L10" s="73">
        <v>0.25</v>
      </c>
      <c r="M10" s="75">
        <f>(F10+H10+I10)*L10</f>
        <v>1.2050000000000001</v>
      </c>
      <c r="N10" s="76">
        <f>F10*2340000</f>
        <v>10108800</v>
      </c>
      <c r="O10" s="76">
        <f>H10*F10*1800000</f>
        <v>0</v>
      </c>
      <c r="P10" s="76">
        <f>I10*2340000</f>
        <v>1170000</v>
      </c>
      <c r="Q10" s="76">
        <f>J10*2340000</f>
        <v>0</v>
      </c>
      <c r="R10" s="76">
        <f>K10*2340000</f>
        <v>3947580</v>
      </c>
      <c r="S10" s="76">
        <f>M10*2340000</f>
        <v>2819700</v>
      </c>
      <c r="T10" s="76">
        <f>SUM(N10:S10)</f>
        <v>18046080</v>
      </c>
      <c r="U10" s="76">
        <f>(N10+O10+P10+S10)*10.5%</f>
        <v>1480342.5</v>
      </c>
      <c r="V10" s="76">
        <f>ROUND((T10-U10),0)</f>
        <v>16565738</v>
      </c>
      <c r="W10" s="77"/>
      <c r="X10" s="78" t="s">
        <v>30</v>
      </c>
      <c r="Y10" s="79">
        <f t="shared" ref="Y10:Y43" si="0">(N10+O10+P10+S10)*17%</f>
        <v>2396745</v>
      </c>
      <c r="Z10" s="79">
        <f t="shared" ref="Z10:Z43" si="1">(N10+O10+P10+S10)*3%</f>
        <v>422955</v>
      </c>
      <c r="AA10" s="79">
        <f t="shared" ref="AA10:AA43" si="2">(N10+O10+P10+S10)*1%</f>
        <v>140985</v>
      </c>
      <c r="AB10" s="79">
        <f t="shared" ref="AB10:AB61" si="3">(N10+O10+P10+S10)*0.5%</f>
        <v>70492.5</v>
      </c>
      <c r="AC10" s="79">
        <f t="shared" ref="AC10:AC43" si="4">(N10+O10+P10+S10)*2%</f>
        <v>281970</v>
      </c>
      <c r="AD10" s="8">
        <v>1468499.7600000002</v>
      </c>
      <c r="AE10" s="80">
        <f>U10-AD10</f>
        <v>11842.739999999758</v>
      </c>
    </row>
    <row r="11" spans="1:31" ht="36" customHeight="1">
      <c r="A11" s="65">
        <f>A10+1</f>
        <v>2</v>
      </c>
      <c r="B11" s="81" t="s">
        <v>31</v>
      </c>
      <c r="C11" s="70">
        <v>30242</v>
      </c>
      <c r="D11" s="70" t="s">
        <v>32</v>
      </c>
      <c r="E11" s="72" t="s">
        <v>33</v>
      </c>
      <c r="F11" s="62">
        <v>3.99</v>
      </c>
      <c r="G11" s="62"/>
      <c r="H11" s="62"/>
      <c r="I11" s="62">
        <v>0.35</v>
      </c>
      <c r="J11" s="76"/>
      <c r="K11" s="74">
        <f>(F11+H11*F11+I11)*35%</f>
        <v>1.5189999999999999</v>
      </c>
      <c r="L11" s="73">
        <v>0.19</v>
      </c>
      <c r="M11" s="75">
        <f>(F11+H11+I11)*L11</f>
        <v>0.8246</v>
      </c>
      <c r="N11" s="76">
        <f t="shared" ref="N11:N42" si="5">F11*2340000</f>
        <v>9336600</v>
      </c>
      <c r="O11" s="76">
        <f t="shared" ref="O11:O42" si="6">H11*F11*1800000</f>
        <v>0</v>
      </c>
      <c r="P11" s="76">
        <f t="shared" ref="P11:R43" si="7">I11*2340000</f>
        <v>819000</v>
      </c>
      <c r="Q11" s="76">
        <f t="shared" si="7"/>
        <v>0</v>
      </c>
      <c r="R11" s="76">
        <f>K11*2340000</f>
        <v>3554460</v>
      </c>
      <c r="S11" s="76">
        <f>M11*2340000</f>
        <v>1929564</v>
      </c>
      <c r="T11" s="76">
        <f t="shared" ref="T11:T41" si="8">SUM(N11:S11)</f>
        <v>15639624</v>
      </c>
      <c r="U11" s="76">
        <f t="shared" ref="U11:U12" si="9">(N11+O11+P11+S11)*10.5%</f>
        <v>1268942.22</v>
      </c>
      <c r="V11" s="76">
        <f t="shared" ref="V11:V43" si="10">ROUND((T11-U11),0)</f>
        <v>14370682</v>
      </c>
      <c r="W11" s="82"/>
      <c r="X11" s="78" t="s">
        <v>30</v>
      </c>
      <c r="Y11" s="79">
        <f t="shared" si="0"/>
        <v>2054477.8800000001</v>
      </c>
      <c r="Z11" s="79">
        <f t="shared" si="1"/>
        <v>362554.92</v>
      </c>
      <c r="AA11" s="79">
        <f t="shared" si="2"/>
        <v>120851.64</v>
      </c>
      <c r="AB11" s="79">
        <f t="shared" si="3"/>
        <v>60425.82</v>
      </c>
      <c r="AC11" s="79">
        <f t="shared" si="4"/>
        <v>241703.28</v>
      </c>
      <c r="AD11" s="8">
        <v>1268942.22</v>
      </c>
      <c r="AE11" s="80">
        <f t="shared" ref="AE11:AE63" si="11">U11-AD11</f>
        <v>0</v>
      </c>
    </row>
    <row r="12" spans="1:31" ht="36" customHeight="1">
      <c r="A12" s="65">
        <f>A11+1</f>
        <v>3</v>
      </c>
      <c r="B12" s="81" t="s">
        <v>34</v>
      </c>
      <c r="C12" s="70">
        <v>29295</v>
      </c>
      <c r="D12" s="70" t="s">
        <v>35</v>
      </c>
      <c r="E12" s="72" t="s">
        <v>33</v>
      </c>
      <c r="F12" s="62">
        <v>3.66</v>
      </c>
      <c r="G12" s="62"/>
      <c r="H12" s="62"/>
      <c r="I12" s="62">
        <v>0.35</v>
      </c>
      <c r="J12" s="64"/>
      <c r="K12" s="74">
        <f t="shared" ref="K12" si="12">(F12+H12*F12+I12)*35%</f>
        <v>1.4034999999999997</v>
      </c>
      <c r="L12" s="73">
        <v>0.17</v>
      </c>
      <c r="M12" s="75">
        <f t="shared" ref="M12:M13" si="13">(F12+H12+I12)*L12</f>
        <v>0.68169999999999997</v>
      </c>
      <c r="N12" s="76">
        <f t="shared" si="5"/>
        <v>8564400</v>
      </c>
      <c r="O12" s="76">
        <f t="shared" si="6"/>
        <v>0</v>
      </c>
      <c r="P12" s="76">
        <f t="shared" si="7"/>
        <v>819000</v>
      </c>
      <c r="Q12" s="76">
        <f t="shared" si="7"/>
        <v>0</v>
      </c>
      <c r="R12" s="76">
        <f t="shared" si="7"/>
        <v>3284189.9999999995</v>
      </c>
      <c r="S12" s="76">
        <f t="shared" ref="S12:S43" si="14">M12*2340000</f>
        <v>1595178</v>
      </c>
      <c r="T12" s="76">
        <f t="shared" si="8"/>
        <v>14262768</v>
      </c>
      <c r="U12" s="76">
        <f t="shared" si="9"/>
        <v>1152750.69</v>
      </c>
      <c r="V12" s="76">
        <f t="shared" si="10"/>
        <v>13110017</v>
      </c>
      <c r="W12" s="82"/>
      <c r="X12" s="78" t="s">
        <v>30</v>
      </c>
      <c r="Y12" s="79">
        <f t="shared" si="0"/>
        <v>1866358.2600000002</v>
      </c>
      <c r="Z12" s="79">
        <f t="shared" si="1"/>
        <v>329357.33999999997</v>
      </c>
      <c r="AA12" s="79">
        <f t="shared" si="2"/>
        <v>109785.78</v>
      </c>
      <c r="AB12" s="79">
        <f t="shared" si="3"/>
        <v>54892.89</v>
      </c>
      <c r="AC12" s="79">
        <f t="shared" si="4"/>
        <v>219571.56</v>
      </c>
      <c r="AD12" s="8">
        <v>1152750.69</v>
      </c>
      <c r="AE12" s="80">
        <f t="shared" si="11"/>
        <v>0</v>
      </c>
    </row>
    <row r="13" spans="1:31" ht="36" customHeight="1">
      <c r="A13" s="65">
        <f t="shared" ref="A13:A43" si="15">A12+1</f>
        <v>4</v>
      </c>
      <c r="B13" s="81" t="s">
        <v>36</v>
      </c>
      <c r="C13" s="70">
        <v>27777</v>
      </c>
      <c r="D13" s="70" t="s">
        <v>37</v>
      </c>
      <c r="E13" s="72" t="s">
        <v>38</v>
      </c>
      <c r="F13" s="62">
        <v>4.6500000000000004</v>
      </c>
      <c r="G13" s="62"/>
      <c r="H13" s="62"/>
      <c r="I13" s="62"/>
      <c r="J13" s="62"/>
      <c r="K13" s="62">
        <f>(F13+H13*F13)*35%</f>
        <v>1.6274999999999999</v>
      </c>
      <c r="L13" s="73">
        <v>0.28000000000000003</v>
      </c>
      <c r="M13" s="75">
        <f t="shared" si="13"/>
        <v>1.3020000000000003</v>
      </c>
      <c r="N13" s="76">
        <f>F13*2340000</f>
        <v>10881000</v>
      </c>
      <c r="O13" s="76">
        <f t="shared" si="6"/>
        <v>0</v>
      </c>
      <c r="P13" s="76">
        <f t="shared" si="7"/>
        <v>0</v>
      </c>
      <c r="Q13" s="76">
        <f t="shared" si="7"/>
        <v>0</v>
      </c>
      <c r="R13" s="76">
        <f>K13*2340000</f>
        <v>3808350</v>
      </c>
      <c r="S13" s="76">
        <f>M13*2340000</f>
        <v>3046680.0000000005</v>
      </c>
      <c r="T13" s="76">
        <f t="shared" si="8"/>
        <v>17736030</v>
      </c>
      <c r="U13" s="76">
        <f>(N13+O13+S13)*10.5%</f>
        <v>1462406.4</v>
      </c>
      <c r="V13" s="76">
        <f t="shared" si="10"/>
        <v>16273624</v>
      </c>
      <c r="W13" s="77"/>
      <c r="X13" s="78"/>
      <c r="Y13" s="79">
        <f t="shared" si="0"/>
        <v>2367705.6</v>
      </c>
      <c r="Z13" s="79">
        <f t="shared" si="1"/>
        <v>417830.39999999997</v>
      </c>
      <c r="AA13" s="79">
        <f t="shared" si="2"/>
        <v>139276.79999999999</v>
      </c>
      <c r="AB13" s="79">
        <f t="shared" si="3"/>
        <v>69638.399999999994</v>
      </c>
      <c r="AC13" s="79">
        <f t="shared" si="4"/>
        <v>278553.59999999998</v>
      </c>
      <c r="AD13" s="8">
        <v>1462406.4000000001</v>
      </c>
      <c r="AE13" s="80">
        <f t="shared" si="11"/>
        <v>0</v>
      </c>
    </row>
    <row r="14" spans="1:31" ht="36" customHeight="1">
      <c r="A14" s="65">
        <f t="shared" si="15"/>
        <v>5</v>
      </c>
      <c r="B14" s="81" t="s">
        <v>39</v>
      </c>
      <c r="C14" s="70">
        <v>28382</v>
      </c>
      <c r="D14" s="70" t="s">
        <v>40</v>
      </c>
      <c r="E14" s="72" t="s">
        <v>38</v>
      </c>
      <c r="F14" s="62">
        <v>4.6500000000000004</v>
      </c>
      <c r="G14" s="62"/>
      <c r="H14" s="62"/>
      <c r="I14" s="62"/>
      <c r="J14" s="83">
        <v>0.2</v>
      </c>
      <c r="K14" s="62">
        <f>(F14+H14*F14)*35%</f>
        <v>1.6274999999999999</v>
      </c>
      <c r="L14" s="73">
        <v>0.27</v>
      </c>
      <c r="M14" s="75">
        <f>(F14+H14)*L14</f>
        <v>1.2555000000000003</v>
      </c>
      <c r="N14" s="76">
        <f t="shared" si="5"/>
        <v>10881000</v>
      </c>
      <c r="O14" s="76">
        <f t="shared" si="6"/>
        <v>0</v>
      </c>
      <c r="P14" s="76">
        <f>I14*2340000</f>
        <v>0</v>
      </c>
      <c r="Q14" s="76">
        <f t="shared" si="7"/>
        <v>468000</v>
      </c>
      <c r="R14" s="76">
        <f>K14*2340000</f>
        <v>3808350</v>
      </c>
      <c r="S14" s="76">
        <f>M14*2340000</f>
        <v>2937870.0000000005</v>
      </c>
      <c r="T14" s="76">
        <f>SUM(N14:S14)</f>
        <v>18095220</v>
      </c>
      <c r="U14" s="76">
        <f t="shared" ref="U14:U42" si="16">(N14+O14+S14)*10.5%</f>
        <v>1450981.3499999999</v>
      </c>
      <c r="V14" s="76">
        <f>ROUND((T14-U14),0)</f>
        <v>16644239</v>
      </c>
      <c r="W14" s="77"/>
      <c r="X14" s="78" t="s">
        <v>30</v>
      </c>
      <c r="Y14" s="79">
        <f t="shared" si="0"/>
        <v>2349207.9000000004</v>
      </c>
      <c r="Z14" s="79">
        <f t="shared" si="1"/>
        <v>414566.1</v>
      </c>
      <c r="AA14" s="79">
        <f t="shared" si="2"/>
        <v>138188.70000000001</v>
      </c>
      <c r="AB14" s="79">
        <f t="shared" si="3"/>
        <v>69094.350000000006</v>
      </c>
      <c r="AC14" s="79">
        <f t="shared" si="4"/>
        <v>276377.40000000002</v>
      </c>
      <c r="AD14" s="8">
        <v>1450981.35</v>
      </c>
      <c r="AE14" s="80">
        <f t="shared" si="11"/>
        <v>0</v>
      </c>
    </row>
    <row r="15" spans="1:31" ht="36" customHeight="1">
      <c r="A15" s="65">
        <f t="shared" si="15"/>
        <v>6</v>
      </c>
      <c r="B15" s="81" t="s">
        <v>41</v>
      </c>
      <c r="C15" s="70">
        <v>28166</v>
      </c>
      <c r="D15" s="70" t="s">
        <v>42</v>
      </c>
      <c r="E15" s="72" t="s">
        <v>38</v>
      </c>
      <c r="F15" s="62">
        <v>4.32</v>
      </c>
      <c r="G15" s="62"/>
      <c r="H15" s="62"/>
      <c r="I15" s="62"/>
      <c r="J15" s="83"/>
      <c r="K15" s="62">
        <f t="shared" ref="K15:K40" si="17">(F15+H15*F15)*35%</f>
        <v>1.512</v>
      </c>
      <c r="L15" s="73">
        <v>0.24</v>
      </c>
      <c r="M15" s="75">
        <f t="shared" ref="M15:M39" si="18">(F15+H15)*L15</f>
        <v>1.0367999999999999</v>
      </c>
      <c r="N15" s="76">
        <f t="shared" si="5"/>
        <v>10108800</v>
      </c>
      <c r="O15" s="76">
        <f t="shared" si="6"/>
        <v>0</v>
      </c>
      <c r="P15" s="76">
        <f t="shared" si="7"/>
        <v>0</v>
      </c>
      <c r="Q15" s="76">
        <f t="shared" si="7"/>
        <v>0</v>
      </c>
      <c r="R15" s="76">
        <f t="shared" si="7"/>
        <v>3538080</v>
      </c>
      <c r="S15" s="76">
        <f t="shared" si="14"/>
        <v>2426112</v>
      </c>
      <c r="T15" s="76">
        <f t="shared" si="8"/>
        <v>16072992</v>
      </c>
      <c r="U15" s="76">
        <f t="shared" si="16"/>
        <v>1316165.76</v>
      </c>
      <c r="V15" s="76">
        <f t="shared" si="10"/>
        <v>14756826</v>
      </c>
      <c r="W15" s="77"/>
      <c r="X15" s="78" t="s">
        <v>30</v>
      </c>
      <c r="Y15" s="79">
        <f t="shared" si="0"/>
        <v>2130935.04</v>
      </c>
      <c r="Z15" s="79">
        <f t="shared" si="1"/>
        <v>376047.35999999999</v>
      </c>
      <c r="AA15" s="79">
        <f t="shared" si="2"/>
        <v>125349.12</v>
      </c>
      <c r="AB15" s="79">
        <f t="shared" si="3"/>
        <v>62674.559999999998</v>
      </c>
      <c r="AC15" s="79">
        <f t="shared" si="4"/>
        <v>250698.23999999999</v>
      </c>
      <c r="AD15" s="8">
        <v>1316165.76</v>
      </c>
      <c r="AE15" s="80">
        <f t="shared" si="11"/>
        <v>0</v>
      </c>
    </row>
    <row r="16" spans="1:31" ht="36" customHeight="1">
      <c r="A16" s="65">
        <f t="shared" si="15"/>
        <v>7</v>
      </c>
      <c r="B16" s="81" t="s">
        <v>43</v>
      </c>
      <c r="C16" s="70">
        <v>28443</v>
      </c>
      <c r="D16" s="70" t="s">
        <v>44</v>
      </c>
      <c r="E16" s="72" t="s">
        <v>38</v>
      </c>
      <c r="F16" s="62">
        <v>3.66</v>
      </c>
      <c r="G16" s="62"/>
      <c r="H16" s="62"/>
      <c r="I16" s="62"/>
      <c r="J16" s="83"/>
      <c r="K16" s="62">
        <f t="shared" si="17"/>
        <v>1.2809999999999999</v>
      </c>
      <c r="L16" s="73">
        <v>0.2</v>
      </c>
      <c r="M16" s="75">
        <f t="shared" si="18"/>
        <v>0.7320000000000001</v>
      </c>
      <c r="N16" s="76">
        <f t="shared" si="5"/>
        <v>8564400</v>
      </c>
      <c r="O16" s="76">
        <f t="shared" si="6"/>
        <v>0</v>
      </c>
      <c r="P16" s="76">
        <f t="shared" si="7"/>
        <v>0</v>
      </c>
      <c r="Q16" s="76">
        <f t="shared" si="7"/>
        <v>0</v>
      </c>
      <c r="R16" s="76">
        <f t="shared" si="7"/>
        <v>2997540</v>
      </c>
      <c r="S16" s="76">
        <f t="shared" si="14"/>
        <v>1712880.0000000002</v>
      </c>
      <c r="T16" s="76">
        <f t="shared" si="8"/>
        <v>13274820</v>
      </c>
      <c r="U16" s="76">
        <f t="shared" si="16"/>
        <v>1079114.3999999999</v>
      </c>
      <c r="V16" s="76">
        <f t="shared" si="10"/>
        <v>12195706</v>
      </c>
      <c r="W16" s="77"/>
      <c r="X16" s="78" t="s">
        <v>30</v>
      </c>
      <c r="Y16" s="79">
        <f t="shared" si="0"/>
        <v>1747137.6</v>
      </c>
      <c r="Z16" s="79">
        <f t="shared" si="1"/>
        <v>308318.39999999997</v>
      </c>
      <c r="AA16" s="79">
        <f t="shared" si="2"/>
        <v>102772.8</v>
      </c>
      <c r="AB16" s="79">
        <f t="shared" si="3"/>
        <v>51386.400000000001</v>
      </c>
      <c r="AC16" s="79">
        <f t="shared" si="4"/>
        <v>205545.60000000001</v>
      </c>
      <c r="AD16" s="8">
        <v>1079114.3999999999</v>
      </c>
      <c r="AE16" s="80">
        <f t="shared" si="11"/>
        <v>0</v>
      </c>
    </row>
    <row r="17" spans="1:31" ht="36" customHeight="1">
      <c r="A17" s="65">
        <f t="shared" si="15"/>
        <v>8</v>
      </c>
      <c r="B17" s="81" t="s">
        <v>45</v>
      </c>
      <c r="C17" s="70">
        <v>28546</v>
      </c>
      <c r="D17" s="70" t="s">
        <v>46</v>
      </c>
      <c r="E17" s="72" t="s">
        <v>38</v>
      </c>
      <c r="F17" s="62">
        <v>4.2699999999999996</v>
      </c>
      <c r="G17" s="62"/>
      <c r="H17" s="62"/>
      <c r="I17" s="62"/>
      <c r="J17" s="83">
        <v>0.15</v>
      </c>
      <c r="K17" s="62">
        <f>(F17+H17*F17)*35%</f>
        <v>1.4944999999999997</v>
      </c>
      <c r="L17" s="73">
        <v>0.22</v>
      </c>
      <c r="M17" s="75">
        <f>(F17+H17)*L17</f>
        <v>0.9393999999999999</v>
      </c>
      <c r="N17" s="76">
        <f t="shared" si="5"/>
        <v>9991799.9999999981</v>
      </c>
      <c r="O17" s="76">
        <f t="shared" si="6"/>
        <v>0</v>
      </c>
      <c r="P17" s="76">
        <f>I17*2340000</f>
        <v>0</v>
      </c>
      <c r="Q17" s="76">
        <f t="shared" si="7"/>
        <v>351000</v>
      </c>
      <c r="R17" s="76">
        <f>K17*2340000</f>
        <v>3497129.9999999995</v>
      </c>
      <c r="S17" s="76">
        <f>M17*2340000</f>
        <v>2198196</v>
      </c>
      <c r="T17" s="76">
        <f t="shared" si="8"/>
        <v>16038125.999999998</v>
      </c>
      <c r="U17" s="76">
        <f t="shared" si="16"/>
        <v>1279949.5799999998</v>
      </c>
      <c r="V17" s="76">
        <f t="shared" si="10"/>
        <v>14758176</v>
      </c>
      <c r="W17" s="82"/>
      <c r="X17" s="78" t="s">
        <v>30</v>
      </c>
      <c r="Y17" s="79">
        <f t="shared" si="0"/>
        <v>2072299.3199999998</v>
      </c>
      <c r="Z17" s="79">
        <f t="shared" si="1"/>
        <v>365699.87999999995</v>
      </c>
      <c r="AA17" s="79">
        <f t="shared" si="2"/>
        <v>121899.95999999998</v>
      </c>
      <c r="AB17" s="79">
        <f t="shared" si="3"/>
        <v>60949.979999999989</v>
      </c>
      <c r="AC17" s="79">
        <f t="shared" si="4"/>
        <v>243799.91999999995</v>
      </c>
      <c r="AD17" s="8">
        <v>1279949.5799999998</v>
      </c>
      <c r="AE17" s="80">
        <f t="shared" si="11"/>
        <v>0</v>
      </c>
    </row>
    <row r="18" spans="1:31" ht="36" customHeight="1">
      <c r="A18" s="65">
        <f t="shared" si="15"/>
        <v>9</v>
      </c>
      <c r="B18" s="81" t="s">
        <v>47</v>
      </c>
      <c r="C18" s="70">
        <v>30127</v>
      </c>
      <c r="D18" s="70" t="s">
        <v>48</v>
      </c>
      <c r="E18" s="72" t="s">
        <v>38</v>
      </c>
      <c r="F18" s="62">
        <v>3.66</v>
      </c>
      <c r="G18" s="62"/>
      <c r="H18" s="62"/>
      <c r="I18" s="62"/>
      <c r="J18" s="83"/>
      <c r="K18" s="62">
        <f t="shared" si="17"/>
        <v>1.2809999999999999</v>
      </c>
      <c r="L18" s="73">
        <v>0.17</v>
      </c>
      <c r="M18" s="75">
        <f t="shared" si="18"/>
        <v>0.62220000000000009</v>
      </c>
      <c r="N18" s="76">
        <f t="shared" si="5"/>
        <v>8564400</v>
      </c>
      <c r="O18" s="76">
        <f t="shared" si="6"/>
        <v>0</v>
      </c>
      <c r="P18" s="76">
        <f t="shared" si="7"/>
        <v>0</v>
      </c>
      <c r="Q18" s="76">
        <f t="shared" si="7"/>
        <v>0</v>
      </c>
      <c r="R18" s="76">
        <f t="shared" si="7"/>
        <v>2997540</v>
      </c>
      <c r="S18" s="76">
        <f t="shared" si="14"/>
        <v>1455948.0000000002</v>
      </c>
      <c r="T18" s="76">
        <f t="shared" si="8"/>
        <v>13017888</v>
      </c>
      <c r="U18" s="76">
        <f t="shared" si="16"/>
        <v>1052136.54</v>
      </c>
      <c r="V18" s="76">
        <f t="shared" si="10"/>
        <v>11965751</v>
      </c>
      <c r="W18" s="77"/>
      <c r="X18" s="78" t="s">
        <v>30</v>
      </c>
      <c r="Y18" s="79">
        <f t="shared" si="0"/>
        <v>1703459.1600000001</v>
      </c>
      <c r="Z18" s="79">
        <f t="shared" si="1"/>
        <v>300610.44</v>
      </c>
      <c r="AA18" s="79">
        <f t="shared" si="2"/>
        <v>100203.48</v>
      </c>
      <c r="AB18" s="79">
        <f t="shared" si="3"/>
        <v>50101.74</v>
      </c>
      <c r="AC18" s="79">
        <f t="shared" si="4"/>
        <v>200406.96</v>
      </c>
      <c r="AD18" s="8">
        <v>1043143.9200000002</v>
      </c>
      <c r="AE18" s="80">
        <f t="shared" si="11"/>
        <v>8992.6199999998789</v>
      </c>
    </row>
    <row r="19" spans="1:31" ht="36" customHeight="1">
      <c r="A19" s="65">
        <f t="shared" si="15"/>
        <v>10</v>
      </c>
      <c r="B19" s="81" t="s">
        <v>49</v>
      </c>
      <c r="C19" s="70">
        <v>28463</v>
      </c>
      <c r="D19" s="70" t="s">
        <v>50</v>
      </c>
      <c r="E19" s="72" t="s">
        <v>38</v>
      </c>
      <c r="F19" s="62">
        <v>3.34</v>
      </c>
      <c r="G19" s="62"/>
      <c r="H19" s="62"/>
      <c r="I19" s="62"/>
      <c r="J19" s="83"/>
      <c r="K19" s="62">
        <f t="shared" si="17"/>
        <v>1.1689999999999998</v>
      </c>
      <c r="L19" s="84">
        <v>0.14000000000000001</v>
      </c>
      <c r="M19" s="75">
        <f t="shared" si="18"/>
        <v>0.46760000000000002</v>
      </c>
      <c r="N19" s="76">
        <f t="shared" si="5"/>
        <v>7815600</v>
      </c>
      <c r="O19" s="76">
        <f t="shared" si="6"/>
        <v>0</v>
      </c>
      <c r="P19" s="76">
        <f t="shared" si="7"/>
        <v>0</v>
      </c>
      <c r="Q19" s="76">
        <f t="shared" si="7"/>
        <v>0</v>
      </c>
      <c r="R19" s="76">
        <f t="shared" si="7"/>
        <v>2735459.9999999995</v>
      </c>
      <c r="S19" s="76">
        <f t="shared" si="14"/>
        <v>1094184</v>
      </c>
      <c r="T19" s="76">
        <f t="shared" si="8"/>
        <v>11645244</v>
      </c>
      <c r="U19" s="76">
        <f t="shared" si="16"/>
        <v>935527.32</v>
      </c>
      <c r="V19" s="76">
        <f t="shared" si="10"/>
        <v>10709717</v>
      </c>
      <c r="W19" s="82" t="s">
        <v>51</v>
      </c>
      <c r="X19" s="78" t="s">
        <v>30</v>
      </c>
      <c r="Y19" s="79">
        <f t="shared" si="0"/>
        <v>1514663.28</v>
      </c>
      <c r="Z19" s="79">
        <f t="shared" si="1"/>
        <v>267293.52</v>
      </c>
      <c r="AA19" s="79">
        <f t="shared" si="2"/>
        <v>89097.84</v>
      </c>
      <c r="AB19" s="79">
        <f t="shared" si="3"/>
        <v>44548.92</v>
      </c>
      <c r="AC19" s="79">
        <f t="shared" si="4"/>
        <v>178195.68</v>
      </c>
      <c r="AD19" s="8">
        <v>927320.94</v>
      </c>
      <c r="AE19" s="80">
        <f t="shared" si="11"/>
        <v>8206.3800000000047</v>
      </c>
    </row>
    <row r="20" spans="1:31" ht="36" customHeight="1">
      <c r="A20" s="65">
        <f t="shared" si="15"/>
        <v>11</v>
      </c>
      <c r="B20" s="81" t="s">
        <v>52</v>
      </c>
      <c r="C20" s="70">
        <v>30592</v>
      </c>
      <c r="D20" s="70" t="s">
        <v>53</v>
      </c>
      <c r="E20" s="72" t="s">
        <v>38</v>
      </c>
      <c r="F20" s="62">
        <v>3.99</v>
      </c>
      <c r="G20" s="62"/>
      <c r="H20" s="62"/>
      <c r="I20" s="62"/>
      <c r="J20" s="83">
        <v>0.2</v>
      </c>
      <c r="K20" s="62">
        <f t="shared" si="17"/>
        <v>1.3965000000000001</v>
      </c>
      <c r="L20" s="73">
        <v>0.19</v>
      </c>
      <c r="M20" s="75">
        <f t="shared" si="18"/>
        <v>0.7581</v>
      </c>
      <c r="N20" s="76">
        <f t="shared" si="5"/>
        <v>9336600</v>
      </c>
      <c r="O20" s="76">
        <f t="shared" si="6"/>
        <v>0</v>
      </c>
      <c r="P20" s="76">
        <f t="shared" si="7"/>
        <v>0</v>
      </c>
      <c r="Q20" s="76">
        <f>J20*2340000</f>
        <v>468000</v>
      </c>
      <c r="R20" s="76">
        <f t="shared" si="7"/>
        <v>3267810</v>
      </c>
      <c r="S20" s="76">
        <f t="shared" si="14"/>
        <v>1773954</v>
      </c>
      <c r="T20" s="76">
        <f t="shared" si="8"/>
        <v>14846364</v>
      </c>
      <c r="U20" s="76">
        <f t="shared" si="16"/>
        <v>1166608.17</v>
      </c>
      <c r="V20" s="76">
        <f t="shared" si="10"/>
        <v>13679756</v>
      </c>
      <c r="W20" s="77"/>
      <c r="X20" s="78" t="s">
        <v>30</v>
      </c>
      <c r="Y20" s="79">
        <f t="shared" si="0"/>
        <v>1888794.1800000002</v>
      </c>
      <c r="Z20" s="79">
        <f t="shared" si="1"/>
        <v>333316.62</v>
      </c>
      <c r="AA20" s="79">
        <f t="shared" si="2"/>
        <v>111105.54000000001</v>
      </c>
      <c r="AB20" s="79">
        <f t="shared" si="3"/>
        <v>55552.770000000004</v>
      </c>
      <c r="AC20" s="79">
        <f t="shared" si="4"/>
        <v>222211.08000000002</v>
      </c>
      <c r="AD20" s="8">
        <v>1166608.17</v>
      </c>
      <c r="AE20" s="80">
        <f t="shared" si="11"/>
        <v>0</v>
      </c>
    </row>
    <row r="21" spans="1:31" s="2" customFormat="1" ht="36" customHeight="1">
      <c r="A21" s="65">
        <f t="shared" si="15"/>
        <v>12</v>
      </c>
      <c r="B21" s="81" t="s">
        <v>54</v>
      </c>
      <c r="C21" s="70">
        <v>30916</v>
      </c>
      <c r="D21" s="70" t="s">
        <v>55</v>
      </c>
      <c r="E21" s="85" t="s">
        <v>38</v>
      </c>
      <c r="F21" s="86">
        <v>3.65</v>
      </c>
      <c r="G21" s="86"/>
      <c r="H21" s="81"/>
      <c r="I21" s="81"/>
      <c r="J21" s="87"/>
      <c r="K21" s="62">
        <f t="shared" si="17"/>
        <v>1.2774999999999999</v>
      </c>
      <c r="L21" s="88">
        <v>0.18</v>
      </c>
      <c r="M21" s="75">
        <f t="shared" si="18"/>
        <v>0.65699999999999992</v>
      </c>
      <c r="N21" s="76">
        <f t="shared" si="5"/>
        <v>8541000</v>
      </c>
      <c r="O21" s="76">
        <f t="shared" si="6"/>
        <v>0</v>
      </c>
      <c r="P21" s="76">
        <f t="shared" si="7"/>
        <v>0</v>
      </c>
      <c r="Q21" s="76">
        <f t="shared" si="7"/>
        <v>0</v>
      </c>
      <c r="R21" s="76">
        <f t="shared" si="7"/>
        <v>2989349.9999999995</v>
      </c>
      <c r="S21" s="76">
        <f t="shared" si="14"/>
        <v>1537379.9999999998</v>
      </c>
      <c r="T21" s="76">
        <f t="shared" si="8"/>
        <v>13067730</v>
      </c>
      <c r="U21" s="76">
        <f>(N21+O21+S21)*10.5%</f>
        <v>1058229.8999999999</v>
      </c>
      <c r="V21" s="76">
        <f t="shared" si="10"/>
        <v>12009500</v>
      </c>
      <c r="W21" s="77"/>
      <c r="X21" s="78"/>
      <c r="Y21" s="79">
        <f t="shared" si="0"/>
        <v>1713324.6</v>
      </c>
      <c r="Z21" s="79">
        <f t="shared" si="1"/>
        <v>302351.39999999997</v>
      </c>
      <c r="AA21" s="79">
        <f t="shared" si="2"/>
        <v>100783.8</v>
      </c>
      <c r="AB21" s="79">
        <f t="shared" si="3"/>
        <v>50391.9</v>
      </c>
      <c r="AC21" s="79">
        <f t="shared" si="4"/>
        <v>201567.6</v>
      </c>
      <c r="AD21" s="89">
        <v>1058229.8999999997</v>
      </c>
      <c r="AE21" s="80">
        <f t="shared" si="11"/>
        <v>0</v>
      </c>
    </row>
    <row r="22" spans="1:31" ht="36" customHeight="1">
      <c r="A22" s="65">
        <f t="shared" si="15"/>
        <v>13</v>
      </c>
      <c r="B22" s="90" t="s">
        <v>56</v>
      </c>
      <c r="C22" s="70">
        <v>29967</v>
      </c>
      <c r="D22" s="70" t="s">
        <v>57</v>
      </c>
      <c r="E22" s="72" t="s">
        <v>38</v>
      </c>
      <c r="F22" s="62">
        <v>3.66</v>
      </c>
      <c r="G22" s="62"/>
      <c r="H22" s="62"/>
      <c r="I22" s="62"/>
      <c r="J22" s="83">
        <v>0.2</v>
      </c>
      <c r="K22" s="62">
        <f t="shared" si="17"/>
        <v>1.2809999999999999</v>
      </c>
      <c r="L22" s="73">
        <v>0.19</v>
      </c>
      <c r="M22" s="75">
        <f t="shared" si="18"/>
        <v>0.69540000000000002</v>
      </c>
      <c r="N22" s="76">
        <f t="shared" si="5"/>
        <v>8564400</v>
      </c>
      <c r="O22" s="76">
        <f t="shared" si="6"/>
        <v>0</v>
      </c>
      <c r="P22" s="76">
        <f t="shared" si="7"/>
        <v>0</v>
      </c>
      <c r="Q22" s="76">
        <f t="shared" si="7"/>
        <v>468000</v>
      </c>
      <c r="R22" s="76">
        <f t="shared" si="7"/>
        <v>2997540</v>
      </c>
      <c r="S22" s="76">
        <f t="shared" si="14"/>
        <v>1627236</v>
      </c>
      <c r="T22" s="76">
        <f t="shared" si="8"/>
        <v>13657176</v>
      </c>
      <c r="U22" s="76">
        <f t="shared" si="16"/>
        <v>1070121.78</v>
      </c>
      <c r="V22" s="76">
        <f t="shared" si="10"/>
        <v>12587054</v>
      </c>
      <c r="W22" s="77"/>
      <c r="X22" s="78"/>
      <c r="Y22" s="79">
        <f t="shared" si="0"/>
        <v>1732578.12</v>
      </c>
      <c r="Z22" s="79">
        <f t="shared" si="1"/>
        <v>305749.08</v>
      </c>
      <c r="AA22" s="79">
        <f t="shared" si="2"/>
        <v>101916.36</v>
      </c>
      <c r="AB22" s="79">
        <f t="shared" si="3"/>
        <v>50958.18</v>
      </c>
      <c r="AC22" s="79">
        <f t="shared" si="4"/>
        <v>203832.72</v>
      </c>
      <c r="AD22" s="8">
        <v>1070121.78</v>
      </c>
      <c r="AE22" s="80">
        <f t="shared" si="11"/>
        <v>0</v>
      </c>
    </row>
    <row r="23" spans="1:31" ht="36" customHeight="1">
      <c r="A23" s="65">
        <f>A22+1</f>
        <v>14</v>
      </c>
      <c r="B23" s="81" t="s">
        <v>58</v>
      </c>
      <c r="C23" s="70">
        <v>27778</v>
      </c>
      <c r="D23" s="70" t="s">
        <v>59</v>
      </c>
      <c r="E23" s="72" t="s">
        <v>38</v>
      </c>
      <c r="F23" s="62">
        <v>3.66</v>
      </c>
      <c r="G23" s="62"/>
      <c r="H23" s="62"/>
      <c r="I23" s="62"/>
      <c r="J23" s="83"/>
      <c r="K23" s="62">
        <f t="shared" si="17"/>
        <v>1.2809999999999999</v>
      </c>
      <c r="L23" s="73">
        <v>0.18</v>
      </c>
      <c r="M23" s="75">
        <f t="shared" si="18"/>
        <v>0.65880000000000005</v>
      </c>
      <c r="N23" s="76">
        <f t="shared" si="5"/>
        <v>8564400</v>
      </c>
      <c r="O23" s="76">
        <f t="shared" si="6"/>
        <v>0</v>
      </c>
      <c r="P23" s="76">
        <f t="shared" si="7"/>
        <v>0</v>
      </c>
      <c r="Q23" s="76">
        <f t="shared" si="7"/>
        <v>0</v>
      </c>
      <c r="R23" s="76">
        <f t="shared" si="7"/>
        <v>2997540</v>
      </c>
      <c r="S23" s="76">
        <f t="shared" si="14"/>
        <v>1541592.0000000002</v>
      </c>
      <c r="T23" s="76">
        <f t="shared" si="8"/>
        <v>13103532</v>
      </c>
      <c r="U23" s="76">
        <f t="shared" si="16"/>
        <v>1061129.1599999999</v>
      </c>
      <c r="V23" s="76">
        <f t="shared" si="10"/>
        <v>12042403</v>
      </c>
      <c r="W23" s="77"/>
      <c r="X23" s="78"/>
      <c r="Y23" s="79">
        <f t="shared" si="0"/>
        <v>1718018.6400000001</v>
      </c>
      <c r="Z23" s="79">
        <f t="shared" si="1"/>
        <v>303179.76</v>
      </c>
      <c r="AA23" s="79">
        <f t="shared" si="2"/>
        <v>101059.92</v>
      </c>
      <c r="AB23" s="79">
        <f t="shared" si="3"/>
        <v>50529.96</v>
      </c>
      <c r="AC23" s="79">
        <f t="shared" si="4"/>
        <v>202119.84</v>
      </c>
      <c r="AD23" s="8">
        <v>1061129.1600000001</v>
      </c>
      <c r="AE23" s="80">
        <f t="shared" si="11"/>
        <v>0</v>
      </c>
    </row>
    <row r="24" spans="1:31" ht="36" customHeight="1">
      <c r="A24" s="65">
        <f t="shared" si="15"/>
        <v>15</v>
      </c>
      <c r="B24" s="81" t="s">
        <v>60</v>
      </c>
      <c r="C24" s="70">
        <v>26331</v>
      </c>
      <c r="D24" s="70" t="s">
        <v>61</v>
      </c>
      <c r="E24" s="72" t="s">
        <v>38</v>
      </c>
      <c r="F24" s="62">
        <v>3.66</v>
      </c>
      <c r="G24" s="62"/>
      <c r="H24" s="62"/>
      <c r="I24" s="62"/>
      <c r="J24" s="83"/>
      <c r="K24" s="62">
        <f t="shared" si="17"/>
        <v>1.2809999999999999</v>
      </c>
      <c r="L24" s="91">
        <v>0.22</v>
      </c>
      <c r="M24" s="75">
        <f>(F24+H24)*L24</f>
        <v>0.80520000000000003</v>
      </c>
      <c r="N24" s="76">
        <f t="shared" si="5"/>
        <v>8564400</v>
      </c>
      <c r="O24" s="76">
        <f t="shared" si="6"/>
        <v>0</v>
      </c>
      <c r="P24" s="76">
        <f t="shared" si="7"/>
        <v>0</v>
      </c>
      <c r="Q24" s="76">
        <f t="shared" si="7"/>
        <v>0</v>
      </c>
      <c r="R24" s="76">
        <f t="shared" si="7"/>
        <v>2997540</v>
      </c>
      <c r="S24" s="76">
        <f t="shared" si="14"/>
        <v>1884168</v>
      </c>
      <c r="T24" s="76">
        <f t="shared" si="8"/>
        <v>13446108</v>
      </c>
      <c r="U24" s="76">
        <f t="shared" si="16"/>
        <v>1097099.6399999999</v>
      </c>
      <c r="V24" s="76">
        <f t="shared" si="10"/>
        <v>12349008</v>
      </c>
      <c r="W24" s="82" t="s">
        <v>51</v>
      </c>
      <c r="X24" s="78" t="s">
        <v>30</v>
      </c>
      <c r="Y24" s="79">
        <f t="shared" si="0"/>
        <v>1776256.56</v>
      </c>
      <c r="Z24" s="79">
        <f t="shared" si="1"/>
        <v>313457.03999999998</v>
      </c>
      <c r="AA24" s="79">
        <f t="shared" si="2"/>
        <v>104485.68000000001</v>
      </c>
      <c r="AB24" s="79">
        <f t="shared" si="3"/>
        <v>52242.840000000004</v>
      </c>
      <c r="AC24" s="79">
        <f t="shared" si="4"/>
        <v>208971.36000000002</v>
      </c>
      <c r="AD24" s="8">
        <v>1088107.02</v>
      </c>
      <c r="AE24" s="80">
        <f t="shared" si="11"/>
        <v>8992.6199999998789</v>
      </c>
    </row>
    <row r="25" spans="1:31" ht="36" customHeight="1">
      <c r="A25" s="65">
        <f t="shared" si="15"/>
        <v>16</v>
      </c>
      <c r="B25" s="81" t="s">
        <v>62</v>
      </c>
      <c r="C25" s="70">
        <v>31234</v>
      </c>
      <c r="D25" s="70" t="s">
        <v>63</v>
      </c>
      <c r="E25" s="72" t="s">
        <v>38</v>
      </c>
      <c r="F25" s="62">
        <v>3.66</v>
      </c>
      <c r="G25" s="62"/>
      <c r="H25" s="62"/>
      <c r="I25" s="62"/>
      <c r="J25" s="83"/>
      <c r="K25" s="62">
        <f t="shared" si="17"/>
        <v>1.2809999999999999</v>
      </c>
      <c r="L25" s="73">
        <v>0.15</v>
      </c>
      <c r="M25" s="75">
        <f t="shared" si="18"/>
        <v>0.54900000000000004</v>
      </c>
      <c r="N25" s="76">
        <f t="shared" si="5"/>
        <v>8564400</v>
      </c>
      <c r="O25" s="76">
        <f t="shared" si="6"/>
        <v>0</v>
      </c>
      <c r="P25" s="76">
        <f t="shared" si="7"/>
        <v>0</v>
      </c>
      <c r="Q25" s="76">
        <f t="shared" si="7"/>
        <v>0</v>
      </c>
      <c r="R25" s="76">
        <f t="shared" si="7"/>
        <v>2997540</v>
      </c>
      <c r="S25" s="76">
        <f t="shared" si="14"/>
        <v>1284660</v>
      </c>
      <c r="T25" s="76">
        <f t="shared" si="8"/>
        <v>12846600</v>
      </c>
      <c r="U25" s="76">
        <f t="shared" si="16"/>
        <v>1034151.2999999999</v>
      </c>
      <c r="V25" s="76">
        <f t="shared" si="10"/>
        <v>11812449</v>
      </c>
      <c r="W25" s="82"/>
      <c r="X25" s="78"/>
      <c r="Y25" s="79">
        <f t="shared" si="0"/>
        <v>1674340.2000000002</v>
      </c>
      <c r="Z25" s="79">
        <f t="shared" si="1"/>
        <v>295471.8</v>
      </c>
      <c r="AA25" s="79">
        <f t="shared" si="2"/>
        <v>98490.6</v>
      </c>
      <c r="AB25" s="79">
        <f t="shared" si="3"/>
        <v>49245.3</v>
      </c>
      <c r="AC25" s="79">
        <f t="shared" si="4"/>
        <v>196981.2</v>
      </c>
      <c r="AD25" s="8">
        <v>1034151.3000000002</v>
      </c>
      <c r="AE25" s="80">
        <f t="shared" si="11"/>
        <v>0</v>
      </c>
    </row>
    <row r="26" spans="1:31" ht="36" customHeight="1">
      <c r="A26" s="65">
        <f t="shared" si="15"/>
        <v>17</v>
      </c>
      <c r="B26" s="81" t="s">
        <v>64</v>
      </c>
      <c r="C26" s="70">
        <v>31860</v>
      </c>
      <c r="D26" s="70" t="s">
        <v>65</v>
      </c>
      <c r="E26" s="72" t="s">
        <v>38</v>
      </c>
      <c r="F26" s="62">
        <v>3.65</v>
      </c>
      <c r="G26" s="62"/>
      <c r="H26" s="62"/>
      <c r="I26" s="62"/>
      <c r="J26" s="83"/>
      <c r="K26" s="62">
        <f t="shared" si="17"/>
        <v>1.2774999999999999</v>
      </c>
      <c r="L26" s="73">
        <v>0.16</v>
      </c>
      <c r="M26" s="75">
        <f t="shared" si="18"/>
        <v>0.58399999999999996</v>
      </c>
      <c r="N26" s="76">
        <f t="shared" si="5"/>
        <v>8541000</v>
      </c>
      <c r="O26" s="76">
        <f t="shared" si="6"/>
        <v>0</v>
      </c>
      <c r="P26" s="76">
        <f t="shared" si="7"/>
        <v>0</v>
      </c>
      <c r="Q26" s="76">
        <f t="shared" si="7"/>
        <v>0</v>
      </c>
      <c r="R26" s="76">
        <f t="shared" si="7"/>
        <v>2989349.9999999995</v>
      </c>
      <c r="S26" s="76">
        <f t="shared" si="14"/>
        <v>1366560</v>
      </c>
      <c r="T26" s="76">
        <f t="shared" si="8"/>
        <v>12896910</v>
      </c>
      <c r="U26" s="76">
        <f t="shared" si="16"/>
        <v>1040293.7999999999</v>
      </c>
      <c r="V26" s="76">
        <f t="shared" si="10"/>
        <v>11856616</v>
      </c>
      <c r="W26" s="82"/>
      <c r="X26" s="78"/>
      <c r="Y26" s="79">
        <f t="shared" si="0"/>
        <v>1684285.2000000002</v>
      </c>
      <c r="Z26" s="79">
        <f t="shared" si="1"/>
        <v>297226.8</v>
      </c>
      <c r="AA26" s="79">
        <f t="shared" si="2"/>
        <v>99075.6</v>
      </c>
      <c r="AB26" s="79">
        <f t="shared" si="3"/>
        <v>49537.8</v>
      </c>
      <c r="AC26" s="79">
        <f t="shared" si="4"/>
        <v>198151.2</v>
      </c>
      <c r="AD26" s="8">
        <v>1040293.7999999999</v>
      </c>
      <c r="AE26" s="80">
        <f t="shared" si="11"/>
        <v>0</v>
      </c>
    </row>
    <row r="27" spans="1:31" ht="36" customHeight="1">
      <c r="A27" s="65">
        <f t="shared" si="15"/>
        <v>18</v>
      </c>
      <c r="B27" s="81" t="s">
        <v>66</v>
      </c>
      <c r="C27" s="70">
        <v>30175</v>
      </c>
      <c r="D27" s="70" t="s">
        <v>67</v>
      </c>
      <c r="E27" s="72" t="s">
        <v>38</v>
      </c>
      <c r="F27" s="62">
        <v>3.66</v>
      </c>
      <c r="G27" s="62"/>
      <c r="H27" s="62"/>
      <c r="I27" s="62"/>
      <c r="J27" s="83"/>
      <c r="K27" s="62">
        <f t="shared" si="17"/>
        <v>1.2809999999999999</v>
      </c>
      <c r="L27" s="73">
        <v>0.19</v>
      </c>
      <c r="M27" s="75">
        <f t="shared" si="18"/>
        <v>0.69540000000000002</v>
      </c>
      <c r="N27" s="76">
        <f t="shared" si="5"/>
        <v>8564400</v>
      </c>
      <c r="O27" s="76">
        <f t="shared" si="6"/>
        <v>0</v>
      </c>
      <c r="P27" s="76">
        <f t="shared" si="7"/>
        <v>0</v>
      </c>
      <c r="Q27" s="76">
        <f t="shared" si="7"/>
        <v>0</v>
      </c>
      <c r="R27" s="76">
        <f t="shared" si="7"/>
        <v>2997540</v>
      </c>
      <c r="S27" s="76">
        <f t="shared" si="14"/>
        <v>1627236</v>
      </c>
      <c r="T27" s="76">
        <f t="shared" si="8"/>
        <v>13189176</v>
      </c>
      <c r="U27" s="76">
        <f t="shared" si="16"/>
        <v>1070121.78</v>
      </c>
      <c r="V27" s="76">
        <f t="shared" si="10"/>
        <v>12119054</v>
      </c>
      <c r="W27" s="77"/>
      <c r="X27" s="78"/>
      <c r="Y27" s="79">
        <f t="shared" si="0"/>
        <v>1732578.12</v>
      </c>
      <c r="Z27" s="79">
        <f t="shared" si="1"/>
        <v>305749.08</v>
      </c>
      <c r="AA27" s="79">
        <f t="shared" si="2"/>
        <v>101916.36</v>
      </c>
      <c r="AB27" s="79">
        <f t="shared" si="3"/>
        <v>50958.18</v>
      </c>
      <c r="AC27" s="79">
        <f t="shared" si="4"/>
        <v>203832.72</v>
      </c>
      <c r="AD27" s="8">
        <v>1070121.78</v>
      </c>
      <c r="AE27" s="80">
        <f t="shared" si="11"/>
        <v>0</v>
      </c>
    </row>
    <row r="28" spans="1:31" ht="36" customHeight="1">
      <c r="A28" s="65">
        <f>A27+1</f>
        <v>19</v>
      </c>
      <c r="B28" s="81" t="s">
        <v>68</v>
      </c>
      <c r="C28" s="70">
        <v>27339</v>
      </c>
      <c r="D28" s="70" t="s">
        <v>69</v>
      </c>
      <c r="E28" s="72" t="s">
        <v>38</v>
      </c>
      <c r="F28" s="62">
        <v>3.33</v>
      </c>
      <c r="G28" s="62"/>
      <c r="H28" s="62"/>
      <c r="I28" s="62"/>
      <c r="J28" s="83"/>
      <c r="K28" s="62">
        <f t="shared" si="17"/>
        <v>1.1655</v>
      </c>
      <c r="L28" s="73">
        <v>0.11</v>
      </c>
      <c r="M28" s="75">
        <f t="shared" si="18"/>
        <v>0.36630000000000001</v>
      </c>
      <c r="N28" s="76">
        <f t="shared" si="5"/>
        <v>7792200</v>
      </c>
      <c r="O28" s="76">
        <f t="shared" si="6"/>
        <v>0</v>
      </c>
      <c r="P28" s="76">
        <f t="shared" si="7"/>
        <v>0</v>
      </c>
      <c r="Q28" s="76">
        <f t="shared" si="7"/>
        <v>0</v>
      </c>
      <c r="R28" s="76">
        <f t="shared" si="7"/>
        <v>2727270</v>
      </c>
      <c r="S28" s="76">
        <f t="shared" si="14"/>
        <v>857142</v>
      </c>
      <c r="T28" s="76">
        <f t="shared" si="8"/>
        <v>11376612</v>
      </c>
      <c r="U28" s="76">
        <f t="shared" si="16"/>
        <v>908180.90999999992</v>
      </c>
      <c r="V28" s="76">
        <f t="shared" si="10"/>
        <v>10468431</v>
      </c>
      <c r="W28" s="82"/>
      <c r="X28" s="78" t="s">
        <v>30</v>
      </c>
      <c r="Y28" s="79">
        <f t="shared" si="0"/>
        <v>1470388.1400000001</v>
      </c>
      <c r="Z28" s="79">
        <f t="shared" si="1"/>
        <v>259480.25999999998</v>
      </c>
      <c r="AA28" s="79">
        <f t="shared" si="2"/>
        <v>86493.42</v>
      </c>
      <c r="AB28" s="79">
        <f t="shared" si="3"/>
        <v>43246.71</v>
      </c>
      <c r="AC28" s="79">
        <f t="shared" si="4"/>
        <v>172986.84</v>
      </c>
      <c r="AD28" s="8">
        <v>908180.90999999992</v>
      </c>
      <c r="AE28" s="80">
        <f t="shared" si="11"/>
        <v>0</v>
      </c>
    </row>
    <row r="29" spans="1:31" ht="36" customHeight="1">
      <c r="A29" s="65">
        <f t="shared" si="15"/>
        <v>20</v>
      </c>
      <c r="B29" s="81" t="s">
        <v>70</v>
      </c>
      <c r="C29" s="70">
        <v>30761</v>
      </c>
      <c r="D29" s="70" t="s">
        <v>71</v>
      </c>
      <c r="E29" s="72" t="s">
        <v>38</v>
      </c>
      <c r="F29" s="62">
        <v>3.33</v>
      </c>
      <c r="G29" s="62"/>
      <c r="H29" s="62"/>
      <c r="I29" s="62"/>
      <c r="J29" s="83"/>
      <c r="K29" s="62">
        <f t="shared" si="17"/>
        <v>1.1655</v>
      </c>
      <c r="L29" s="73">
        <v>0.11</v>
      </c>
      <c r="M29" s="75">
        <f t="shared" si="18"/>
        <v>0.36630000000000001</v>
      </c>
      <c r="N29" s="76">
        <f t="shared" si="5"/>
        <v>7792200</v>
      </c>
      <c r="O29" s="76">
        <f t="shared" si="6"/>
        <v>0</v>
      </c>
      <c r="P29" s="76">
        <f t="shared" si="7"/>
        <v>0</v>
      </c>
      <c r="Q29" s="76">
        <f t="shared" si="7"/>
        <v>0</v>
      </c>
      <c r="R29" s="76">
        <f t="shared" si="7"/>
        <v>2727270</v>
      </c>
      <c r="S29" s="76">
        <f t="shared" si="14"/>
        <v>857142</v>
      </c>
      <c r="T29" s="76">
        <f t="shared" si="8"/>
        <v>11376612</v>
      </c>
      <c r="U29" s="76">
        <f t="shared" si="16"/>
        <v>908180.90999999992</v>
      </c>
      <c r="V29" s="76">
        <f t="shared" si="10"/>
        <v>10468431</v>
      </c>
      <c r="W29" s="82"/>
      <c r="X29" s="78"/>
      <c r="Y29" s="79">
        <f t="shared" si="0"/>
        <v>1470388.1400000001</v>
      </c>
      <c r="Z29" s="79">
        <f t="shared" si="1"/>
        <v>259480.25999999998</v>
      </c>
      <c r="AA29" s="79">
        <f t="shared" si="2"/>
        <v>86493.42</v>
      </c>
      <c r="AB29" s="79">
        <f t="shared" si="3"/>
        <v>43246.71</v>
      </c>
      <c r="AC29" s="79">
        <f t="shared" si="4"/>
        <v>172986.84</v>
      </c>
      <c r="AD29" s="8">
        <v>908180.90999999992</v>
      </c>
      <c r="AE29" s="80">
        <f t="shared" si="11"/>
        <v>0</v>
      </c>
    </row>
    <row r="30" spans="1:31" s="106" customFormat="1" ht="36" customHeight="1">
      <c r="A30" s="92">
        <f t="shared" si="15"/>
        <v>21</v>
      </c>
      <c r="B30" s="93" t="s">
        <v>72</v>
      </c>
      <c r="C30" s="94">
        <v>33562</v>
      </c>
      <c r="D30" s="94" t="s">
        <v>73</v>
      </c>
      <c r="E30" s="95" t="s">
        <v>38</v>
      </c>
      <c r="F30" s="96">
        <v>3.03</v>
      </c>
      <c r="G30" s="96"/>
      <c r="H30" s="96"/>
      <c r="I30" s="96"/>
      <c r="J30" s="97"/>
      <c r="K30" s="96">
        <f t="shared" si="17"/>
        <v>1.0604999999999998</v>
      </c>
      <c r="L30" s="98">
        <v>0.11</v>
      </c>
      <c r="M30" s="99">
        <f t="shared" si="18"/>
        <v>0.33329999999999999</v>
      </c>
      <c r="N30" s="100">
        <f t="shared" si="5"/>
        <v>7090200</v>
      </c>
      <c r="O30" s="100">
        <f t="shared" si="6"/>
        <v>0</v>
      </c>
      <c r="P30" s="100">
        <f t="shared" si="7"/>
        <v>0</v>
      </c>
      <c r="Q30" s="100">
        <f t="shared" si="7"/>
        <v>0</v>
      </c>
      <c r="R30" s="100">
        <f t="shared" si="7"/>
        <v>2481569.9999999995</v>
      </c>
      <c r="S30" s="100">
        <f t="shared" si="14"/>
        <v>779922</v>
      </c>
      <c r="T30" s="100">
        <f t="shared" si="8"/>
        <v>10351692</v>
      </c>
      <c r="U30" s="100">
        <f t="shared" si="16"/>
        <v>826362.80999999994</v>
      </c>
      <c r="V30" s="100">
        <f t="shared" si="10"/>
        <v>9525329</v>
      </c>
      <c r="W30" s="101"/>
      <c r="X30" s="102"/>
      <c r="Y30" s="103">
        <f t="shared" si="0"/>
        <v>1337920.74</v>
      </c>
      <c r="Z30" s="103">
        <f t="shared" si="1"/>
        <v>236103.66</v>
      </c>
      <c r="AA30" s="103">
        <f t="shared" si="2"/>
        <v>78701.22</v>
      </c>
      <c r="AB30" s="103">
        <f t="shared" si="3"/>
        <v>39350.61</v>
      </c>
      <c r="AC30" s="103">
        <f t="shared" si="4"/>
        <v>157402.44</v>
      </c>
      <c r="AD30" s="104">
        <v>818918.09999999986</v>
      </c>
      <c r="AE30" s="105">
        <f t="shared" si="11"/>
        <v>7444.7100000000792</v>
      </c>
    </row>
    <row r="31" spans="1:31" ht="36" customHeight="1">
      <c r="A31" s="65">
        <f t="shared" si="15"/>
        <v>22</v>
      </c>
      <c r="B31" s="81" t="s">
        <v>74</v>
      </c>
      <c r="C31" s="70">
        <v>33542</v>
      </c>
      <c r="D31" s="70" t="s">
        <v>75</v>
      </c>
      <c r="E31" s="72" t="s">
        <v>38</v>
      </c>
      <c r="F31" s="62">
        <v>3.33</v>
      </c>
      <c r="G31" s="62"/>
      <c r="H31" s="62"/>
      <c r="I31" s="62"/>
      <c r="J31" s="83">
        <v>0.15</v>
      </c>
      <c r="K31" s="62">
        <f t="shared" si="17"/>
        <v>1.1655</v>
      </c>
      <c r="L31" s="73">
        <v>0.11</v>
      </c>
      <c r="M31" s="75">
        <f t="shared" si="18"/>
        <v>0.36630000000000001</v>
      </c>
      <c r="N31" s="76">
        <f t="shared" si="5"/>
        <v>7792200</v>
      </c>
      <c r="O31" s="76">
        <f t="shared" si="6"/>
        <v>0</v>
      </c>
      <c r="P31" s="76">
        <f t="shared" si="7"/>
        <v>0</v>
      </c>
      <c r="Q31" s="76">
        <f t="shared" si="7"/>
        <v>351000</v>
      </c>
      <c r="R31" s="76">
        <f t="shared" si="7"/>
        <v>2727270</v>
      </c>
      <c r="S31" s="76">
        <f t="shared" si="14"/>
        <v>857142</v>
      </c>
      <c r="T31" s="76">
        <f t="shared" si="8"/>
        <v>11727612</v>
      </c>
      <c r="U31" s="76">
        <f t="shared" si="16"/>
        <v>908180.90999999992</v>
      </c>
      <c r="V31" s="76">
        <f t="shared" si="10"/>
        <v>10819431</v>
      </c>
      <c r="W31" s="77"/>
      <c r="X31" s="78" t="s">
        <v>30</v>
      </c>
      <c r="Y31" s="79">
        <f t="shared" si="0"/>
        <v>1470388.1400000001</v>
      </c>
      <c r="Z31" s="79">
        <f t="shared" si="1"/>
        <v>259480.25999999998</v>
      </c>
      <c r="AA31" s="79">
        <f t="shared" si="2"/>
        <v>86493.42</v>
      </c>
      <c r="AB31" s="79">
        <f t="shared" si="3"/>
        <v>43246.71</v>
      </c>
      <c r="AC31" s="79">
        <f t="shared" si="4"/>
        <v>172986.84</v>
      </c>
      <c r="AD31" s="8">
        <v>899999.1</v>
      </c>
      <c r="AE31" s="80">
        <f t="shared" si="11"/>
        <v>8181.8099999999395</v>
      </c>
    </row>
    <row r="32" spans="1:31" ht="36" customHeight="1">
      <c r="A32" s="65">
        <f t="shared" si="15"/>
        <v>23</v>
      </c>
      <c r="B32" s="81" t="s">
        <v>76</v>
      </c>
      <c r="C32" s="70">
        <v>34209</v>
      </c>
      <c r="D32" s="70" t="s">
        <v>77</v>
      </c>
      <c r="E32" s="72" t="s">
        <v>38</v>
      </c>
      <c r="F32" s="62">
        <v>3.33</v>
      </c>
      <c r="G32" s="62"/>
      <c r="H32" s="62"/>
      <c r="I32" s="62"/>
      <c r="J32" s="83"/>
      <c r="K32" s="62">
        <f t="shared" si="17"/>
        <v>1.1655</v>
      </c>
      <c r="L32" s="73">
        <v>0.1</v>
      </c>
      <c r="M32" s="75">
        <f t="shared" si="18"/>
        <v>0.33300000000000002</v>
      </c>
      <c r="N32" s="76">
        <f t="shared" si="5"/>
        <v>7792200</v>
      </c>
      <c r="O32" s="76">
        <f t="shared" si="6"/>
        <v>0</v>
      </c>
      <c r="P32" s="76">
        <f t="shared" si="7"/>
        <v>0</v>
      </c>
      <c r="Q32" s="76">
        <f t="shared" si="7"/>
        <v>0</v>
      </c>
      <c r="R32" s="76">
        <f t="shared" si="7"/>
        <v>2727270</v>
      </c>
      <c r="S32" s="76">
        <f t="shared" si="14"/>
        <v>779220</v>
      </c>
      <c r="T32" s="76">
        <f t="shared" si="8"/>
        <v>11298690</v>
      </c>
      <c r="U32" s="76">
        <f t="shared" si="16"/>
        <v>899999.1</v>
      </c>
      <c r="V32" s="76">
        <f t="shared" si="10"/>
        <v>10398691</v>
      </c>
      <c r="W32" s="82"/>
      <c r="X32" s="78"/>
      <c r="Y32" s="79">
        <f t="shared" si="0"/>
        <v>1457141.4000000001</v>
      </c>
      <c r="Z32" s="79">
        <f t="shared" si="1"/>
        <v>257142.59999999998</v>
      </c>
      <c r="AA32" s="79">
        <f t="shared" si="2"/>
        <v>85714.2</v>
      </c>
      <c r="AB32" s="79">
        <f t="shared" si="3"/>
        <v>42857.1</v>
      </c>
      <c r="AC32" s="79">
        <f t="shared" si="4"/>
        <v>171428.4</v>
      </c>
      <c r="AD32" s="8">
        <v>899999.1</v>
      </c>
      <c r="AE32" s="80">
        <f t="shared" si="11"/>
        <v>0</v>
      </c>
    </row>
    <row r="33" spans="1:31" ht="36" customHeight="1">
      <c r="A33" s="65">
        <f t="shared" si="15"/>
        <v>24</v>
      </c>
      <c r="B33" s="81" t="s">
        <v>78</v>
      </c>
      <c r="C33" s="70">
        <v>29315</v>
      </c>
      <c r="D33" s="70" t="s">
        <v>79</v>
      </c>
      <c r="E33" s="72" t="s">
        <v>38</v>
      </c>
      <c r="F33" s="62">
        <v>2.72</v>
      </c>
      <c r="G33" s="62"/>
      <c r="H33" s="62"/>
      <c r="I33" s="62"/>
      <c r="J33" s="83"/>
      <c r="K33" s="62">
        <f t="shared" si="17"/>
        <v>0.95199999999999996</v>
      </c>
      <c r="L33" s="73">
        <v>0.08</v>
      </c>
      <c r="M33" s="75">
        <f t="shared" si="18"/>
        <v>0.21760000000000002</v>
      </c>
      <c r="N33" s="76">
        <f t="shared" si="5"/>
        <v>6364800</v>
      </c>
      <c r="O33" s="76">
        <f t="shared" si="6"/>
        <v>0</v>
      </c>
      <c r="P33" s="76">
        <f t="shared" si="7"/>
        <v>0</v>
      </c>
      <c r="Q33" s="76">
        <f t="shared" si="7"/>
        <v>0</v>
      </c>
      <c r="R33" s="76">
        <f t="shared" si="7"/>
        <v>2227680</v>
      </c>
      <c r="S33" s="76">
        <f t="shared" si="14"/>
        <v>509184.00000000006</v>
      </c>
      <c r="T33" s="76">
        <f t="shared" si="8"/>
        <v>9101664</v>
      </c>
      <c r="U33" s="76">
        <f t="shared" si="16"/>
        <v>721768.32</v>
      </c>
      <c r="V33" s="76">
        <f t="shared" si="10"/>
        <v>8379896</v>
      </c>
      <c r="W33" s="82"/>
      <c r="X33" s="78"/>
      <c r="Y33" s="79">
        <f t="shared" si="0"/>
        <v>1168577.28</v>
      </c>
      <c r="Z33" s="79">
        <f t="shared" si="1"/>
        <v>206219.51999999999</v>
      </c>
      <c r="AA33" s="79">
        <f t="shared" si="2"/>
        <v>68739.839999999997</v>
      </c>
      <c r="AB33" s="79">
        <f t="shared" si="3"/>
        <v>34369.919999999998</v>
      </c>
      <c r="AC33" s="79">
        <f t="shared" si="4"/>
        <v>137479.67999999999</v>
      </c>
      <c r="AD33" s="8">
        <v>721768.32000000007</v>
      </c>
      <c r="AE33" s="80">
        <f t="shared" si="11"/>
        <v>0</v>
      </c>
    </row>
    <row r="34" spans="1:31" ht="36" customHeight="1">
      <c r="A34" s="65">
        <f t="shared" si="15"/>
        <v>25</v>
      </c>
      <c r="B34" s="81" t="s">
        <v>80</v>
      </c>
      <c r="C34" s="70">
        <v>31589</v>
      </c>
      <c r="D34" s="70" t="s">
        <v>81</v>
      </c>
      <c r="E34" s="72" t="s">
        <v>38</v>
      </c>
      <c r="F34" s="62">
        <v>2.72</v>
      </c>
      <c r="G34" s="62"/>
      <c r="H34" s="62"/>
      <c r="I34" s="62"/>
      <c r="J34" s="83"/>
      <c r="K34" s="62">
        <f t="shared" si="17"/>
        <v>0.95199999999999996</v>
      </c>
      <c r="L34" s="73">
        <v>0.08</v>
      </c>
      <c r="M34" s="75">
        <f t="shared" si="18"/>
        <v>0.21760000000000002</v>
      </c>
      <c r="N34" s="76">
        <f t="shared" si="5"/>
        <v>6364800</v>
      </c>
      <c r="O34" s="76">
        <f t="shared" si="6"/>
        <v>0</v>
      </c>
      <c r="P34" s="76">
        <f t="shared" si="7"/>
        <v>0</v>
      </c>
      <c r="Q34" s="76">
        <f t="shared" si="7"/>
        <v>0</v>
      </c>
      <c r="R34" s="76">
        <f t="shared" si="7"/>
        <v>2227680</v>
      </c>
      <c r="S34" s="76">
        <f t="shared" si="14"/>
        <v>509184.00000000006</v>
      </c>
      <c r="T34" s="76">
        <f t="shared" si="8"/>
        <v>9101664</v>
      </c>
      <c r="U34" s="76">
        <f t="shared" si="16"/>
        <v>721768.32</v>
      </c>
      <c r="V34" s="76">
        <f t="shared" si="10"/>
        <v>8379896</v>
      </c>
      <c r="W34" s="82"/>
      <c r="X34" s="78"/>
      <c r="Y34" s="79">
        <f t="shared" si="0"/>
        <v>1168577.28</v>
      </c>
      <c r="Z34" s="79">
        <f t="shared" si="1"/>
        <v>206219.51999999999</v>
      </c>
      <c r="AA34" s="79">
        <f t="shared" si="2"/>
        <v>68739.839999999997</v>
      </c>
      <c r="AB34" s="79">
        <f t="shared" si="3"/>
        <v>34369.919999999998</v>
      </c>
      <c r="AC34" s="79">
        <f t="shared" si="4"/>
        <v>137479.67999999999</v>
      </c>
      <c r="AD34" s="8">
        <v>721768.32000000007</v>
      </c>
      <c r="AE34" s="80">
        <f t="shared" si="11"/>
        <v>0</v>
      </c>
    </row>
    <row r="35" spans="1:31" ht="36" customHeight="1">
      <c r="A35" s="65">
        <f t="shared" si="15"/>
        <v>26</v>
      </c>
      <c r="B35" s="81" t="s">
        <v>82</v>
      </c>
      <c r="C35" s="70">
        <v>29660</v>
      </c>
      <c r="D35" s="70" t="s">
        <v>83</v>
      </c>
      <c r="E35" s="72" t="s">
        <v>38</v>
      </c>
      <c r="F35" s="62">
        <v>2.72</v>
      </c>
      <c r="G35" s="62"/>
      <c r="H35" s="62"/>
      <c r="I35" s="62"/>
      <c r="J35" s="83"/>
      <c r="K35" s="62">
        <f t="shared" si="17"/>
        <v>0.95199999999999996</v>
      </c>
      <c r="L35" s="73">
        <v>0.08</v>
      </c>
      <c r="M35" s="75">
        <f t="shared" si="18"/>
        <v>0.21760000000000002</v>
      </c>
      <c r="N35" s="76">
        <f t="shared" si="5"/>
        <v>6364800</v>
      </c>
      <c r="O35" s="76">
        <f t="shared" si="6"/>
        <v>0</v>
      </c>
      <c r="P35" s="76">
        <f t="shared" si="7"/>
        <v>0</v>
      </c>
      <c r="Q35" s="76">
        <f t="shared" si="7"/>
        <v>0</v>
      </c>
      <c r="R35" s="76">
        <f t="shared" si="7"/>
        <v>2227680</v>
      </c>
      <c r="S35" s="76">
        <f t="shared" si="14"/>
        <v>509184.00000000006</v>
      </c>
      <c r="T35" s="76">
        <f t="shared" si="8"/>
        <v>9101664</v>
      </c>
      <c r="U35" s="76">
        <f t="shared" si="16"/>
        <v>721768.32</v>
      </c>
      <c r="V35" s="76">
        <f t="shared" si="10"/>
        <v>8379896</v>
      </c>
      <c r="W35" s="82"/>
      <c r="X35" s="78"/>
      <c r="Y35" s="79">
        <f t="shared" si="0"/>
        <v>1168577.28</v>
      </c>
      <c r="Z35" s="79">
        <f t="shared" si="1"/>
        <v>206219.51999999999</v>
      </c>
      <c r="AA35" s="79">
        <f t="shared" si="2"/>
        <v>68739.839999999997</v>
      </c>
      <c r="AB35" s="79">
        <f t="shared" si="3"/>
        <v>34369.919999999998</v>
      </c>
      <c r="AC35" s="79">
        <f t="shared" si="4"/>
        <v>137479.67999999999</v>
      </c>
      <c r="AD35" s="8">
        <v>721768.32000000007</v>
      </c>
      <c r="AE35" s="80">
        <f t="shared" si="11"/>
        <v>0</v>
      </c>
    </row>
    <row r="36" spans="1:31" ht="36" customHeight="1">
      <c r="A36" s="65">
        <f t="shared" si="15"/>
        <v>27</v>
      </c>
      <c r="B36" s="81" t="s">
        <v>84</v>
      </c>
      <c r="C36" s="70">
        <v>34543</v>
      </c>
      <c r="D36" s="70" t="s">
        <v>85</v>
      </c>
      <c r="E36" s="72" t="s">
        <v>38</v>
      </c>
      <c r="F36" s="62">
        <v>2.72</v>
      </c>
      <c r="G36" s="62"/>
      <c r="H36" s="62"/>
      <c r="I36" s="62"/>
      <c r="J36" s="83">
        <v>0.15</v>
      </c>
      <c r="K36" s="62">
        <f t="shared" si="17"/>
        <v>0.95199999999999996</v>
      </c>
      <c r="L36" s="73">
        <v>0.08</v>
      </c>
      <c r="M36" s="75">
        <f t="shared" si="18"/>
        <v>0.21760000000000002</v>
      </c>
      <c r="N36" s="76">
        <f t="shared" si="5"/>
        <v>6364800</v>
      </c>
      <c r="O36" s="76">
        <f t="shared" si="6"/>
        <v>0</v>
      </c>
      <c r="P36" s="76">
        <f t="shared" si="7"/>
        <v>0</v>
      </c>
      <c r="Q36" s="76">
        <f t="shared" si="7"/>
        <v>351000</v>
      </c>
      <c r="R36" s="76">
        <f t="shared" si="7"/>
        <v>2227680</v>
      </c>
      <c r="S36" s="76">
        <f t="shared" si="14"/>
        <v>509184.00000000006</v>
      </c>
      <c r="T36" s="76">
        <f t="shared" si="8"/>
        <v>9452664</v>
      </c>
      <c r="U36" s="76">
        <f t="shared" si="16"/>
        <v>721768.32</v>
      </c>
      <c r="V36" s="76">
        <f t="shared" si="10"/>
        <v>8730896</v>
      </c>
      <c r="W36" s="82"/>
      <c r="X36" s="78"/>
      <c r="Y36" s="79">
        <f t="shared" si="0"/>
        <v>1168577.28</v>
      </c>
      <c r="Z36" s="79">
        <f t="shared" si="1"/>
        <v>206219.51999999999</v>
      </c>
      <c r="AA36" s="79">
        <f t="shared" si="2"/>
        <v>68739.839999999997</v>
      </c>
      <c r="AB36" s="79">
        <f t="shared" si="3"/>
        <v>34369.919999999998</v>
      </c>
      <c r="AC36" s="79">
        <f t="shared" si="4"/>
        <v>137479.67999999999</v>
      </c>
      <c r="AD36" s="8">
        <v>721768.32000000007</v>
      </c>
      <c r="AE36" s="80">
        <f t="shared" si="11"/>
        <v>0</v>
      </c>
    </row>
    <row r="37" spans="1:31" ht="36" customHeight="1">
      <c r="A37" s="65">
        <f t="shared" si="15"/>
        <v>28</v>
      </c>
      <c r="B37" s="81" t="s">
        <v>86</v>
      </c>
      <c r="C37" s="70">
        <v>30849</v>
      </c>
      <c r="D37" s="70" t="s">
        <v>87</v>
      </c>
      <c r="E37" s="72" t="s">
        <v>38</v>
      </c>
      <c r="F37" s="62">
        <v>3</v>
      </c>
      <c r="G37" s="62"/>
      <c r="H37" s="62"/>
      <c r="I37" s="62"/>
      <c r="J37" s="83">
        <v>0.2</v>
      </c>
      <c r="K37" s="62">
        <f t="shared" si="17"/>
        <v>1.0499999999999998</v>
      </c>
      <c r="L37" s="73">
        <v>0.08</v>
      </c>
      <c r="M37" s="75">
        <f t="shared" si="18"/>
        <v>0.24</v>
      </c>
      <c r="N37" s="76">
        <f t="shared" si="5"/>
        <v>7020000</v>
      </c>
      <c r="O37" s="76">
        <f t="shared" si="6"/>
        <v>0</v>
      </c>
      <c r="P37" s="76">
        <f t="shared" si="7"/>
        <v>0</v>
      </c>
      <c r="Q37" s="76">
        <f t="shared" si="7"/>
        <v>468000</v>
      </c>
      <c r="R37" s="76">
        <f t="shared" si="7"/>
        <v>2456999.9999999995</v>
      </c>
      <c r="S37" s="76">
        <f t="shared" si="14"/>
        <v>561600</v>
      </c>
      <c r="T37" s="76">
        <f t="shared" si="8"/>
        <v>10506600</v>
      </c>
      <c r="U37" s="76">
        <f t="shared" si="16"/>
        <v>796068</v>
      </c>
      <c r="V37" s="76">
        <f t="shared" si="10"/>
        <v>9710532</v>
      </c>
      <c r="W37" s="82"/>
      <c r="X37" s="78" t="s">
        <v>30</v>
      </c>
      <c r="Y37" s="79">
        <f t="shared" si="0"/>
        <v>1288872</v>
      </c>
      <c r="Z37" s="79">
        <f t="shared" si="1"/>
        <v>227448</v>
      </c>
      <c r="AA37" s="79">
        <f t="shared" si="2"/>
        <v>75816</v>
      </c>
      <c r="AB37" s="79">
        <f t="shared" si="3"/>
        <v>37908</v>
      </c>
      <c r="AC37" s="79">
        <f t="shared" si="4"/>
        <v>151632</v>
      </c>
      <c r="AD37" s="8">
        <v>796068.00000000012</v>
      </c>
      <c r="AE37" s="80">
        <f t="shared" si="11"/>
        <v>0</v>
      </c>
    </row>
    <row r="38" spans="1:31" ht="36" customHeight="1">
      <c r="A38" s="65">
        <f t="shared" si="15"/>
        <v>29</v>
      </c>
      <c r="B38" s="81" t="s">
        <v>88</v>
      </c>
      <c r="C38" s="70">
        <v>34929</v>
      </c>
      <c r="D38" s="70" t="s">
        <v>89</v>
      </c>
      <c r="E38" s="72" t="s">
        <v>38</v>
      </c>
      <c r="F38" s="62">
        <v>2.72</v>
      </c>
      <c r="G38" s="62"/>
      <c r="H38" s="62"/>
      <c r="I38" s="62"/>
      <c r="J38" s="83"/>
      <c r="K38" s="62">
        <f t="shared" si="17"/>
        <v>0.95199999999999996</v>
      </c>
      <c r="L38" s="73">
        <v>0.08</v>
      </c>
      <c r="M38" s="75">
        <f t="shared" si="18"/>
        <v>0.21760000000000002</v>
      </c>
      <c r="N38" s="76">
        <f t="shared" si="5"/>
        <v>6364800</v>
      </c>
      <c r="O38" s="76">
        <f t="shared" si="6"/>
        <v>0</v>
      </c>
      <c r="P38" s="76">
        <f t="shared" si="7"/>
        <v>0</v>
      </c>
      <c r="Q38" s="76">
        <f t="shared" si="7"/>
        <v>0</v>
      </c>
      <c r="R38" s="76">
        <f t="shared" si="7"/>
        <v>2227680</v>
      </c>
      <c r="S38" s="76">
        <f t="shared" si="14"/>
        <v>509184.00000000006</v>
      </c>
      <c r="T38" s="76">
        <f t="shared" si="8"/>
        <v>9101664</v>
      </c>
      <c r="U38" s="76">
        <f t="shared" si="16"/>
        <v>721768.32</v>
      </c>
      <c r="V38" s="76">
        <f t="shared" si="10"/>
        <v>8379896</v>
      </c>
      <c r="W38" s="82"/>
      <c r="X38" s="78"/>
      <c r="Y38" s="79">
        <f t="shared" si="0"/>
        <v>1168577.28</v>
      </c>
      <c r="Z38" s="79">
        <f t="shared" si="1"/>
        <v>206219.51999999999</v>
      </c>
      <c r="AA38" s="79">
        <f t="shared" si="2"/>
        <v>68739.839999999997</v>
      </c>
      <c r="AB38" s="79">
        <f t="shared" si="3"/>
        <v>34369.919999999998</v>
      </c>
      <c r="AC38" s="79">
        <f t="shared" si="4"/>
        <v>137479.67999999999</v>
      </c>
      <c r="AD38" s="8">
        <v>721768.32000000007</v>
      </c>
      <c r="AE38" s="80">
        <f t="shared" si="11"/>
        <v>0</v>
      </c>
    </row>
    <row r="39" spans="1:31" s="2" customFormat="1" ht="36" customHeight="1">
      <c r="A39" s="65">
        <f t="shared" si="15"/>
        <v>30</v>
      </c>
      <c r="B39" s="81" t="s">
        <v>90</v>
      </c>
      <c r="C39" s="70">
        <v>34482</v>
      </c>
      <c r="D39" s="70" t="s">
        <v>91</v>
      </c>
      <c r="E39" s="72" t="s">
        <v>38</v>
      </c>
      <c r="F39" s="62">
        <v>3</v>
      </c>
      <c r="G39" s="62"/>
      <c r="H39" s="62"/>
      <c r="I39" s="62"/>
      <c r="J39" s="83"/>
      <c r="K39" s="62">
        <f t="shared" si="17"/>
        <v>1.0499999999999998</v>
      </c>
      <c r="L39" s="73">
        <v>0.08</v>
      </c>
      <c r="M39" s="75">
        <f t="shared" si="18"/>
        <v>0.24</v>
      </c>
      <c r="N39" s="76">
        <f t="shared" si="5"/>
        <v>7020000</v>
      </c>
      <c r="O39" s="76">
        <f t="shared" si="6"/>
        <v>0</v>
      </c>
      <c r="P39" s="76">
        <f t="shared" si="7"/>
        <v>0</v>
      </c>
      <c r="Q39" s="76">
        <f t="shared" si="7"/>
        <v>0</v>
      </c>
      <c r="R39" s="76">
        <f t="shared" si="7"/>
        <v>2456999.9999999995</v>
      </c>
      <c r="S39" s="76">
        <f t="shared" si="14"/>
        <v>561600</v>
      </c>
      <c r="T39" s="76">
        <f t="shared" si="8"/>
        <v>10038600</v>
      </c>
      <c r="U39" s="76">
        <f t="shared" si="16"/>
        <v>796068</v>
      </c>
      <c r="V39" s="76">
        <f t="shared" si="10"/>
        <v>9242532</v>
      </c>
      <c r="W39" s="107"/>
      <c r="X39" s="78" t="s">
        <v>30</v>
      </c>
      <c r="Y39" s="79">
        <f t="shared" si="0"/>
        <v>1288872</v>
      </c>
      <c r="Z39" s="79">
        <f t="shared" si="1"/>
        <v>227448</v>
      </c>
      <c r="AA39" s="79">
        <f t="shared" si="2"/>
        <v>75816</v>
      </c>
      <c r="AB39" s="79">
        <f t="shared" si="3"/>
        <v>37908</v>
      </c>
      <c r="AC39" s="79">
        <f t="shared" si="4"/>
        <v>151632</v>
      </c>
      <c r="AD39" s="89">
        <v>796068.00000000012</v>
      </c>
      <c r="AE39" s="80">
        <f t="shared" si="11"/>
        <v>0</v>
      </c>
    </row>
    <row r="40" spans="1:31" ht="36" customHeight="1">
      <c r="A40" s="65">
        <f t="shared" si="15"/>
        <v>31</v>
      </c>
      <c r="B40" s="81" t="s">
        <v>92</v>
      </c>
      <c r="C40" s="70">
        <v>34625</v>
      </c>
      <c r="D40" s="70" t="s">
        <v>93</v>
      </c>
      <c r="E40" s="72" t="s">
        <v>38</v>
      </c>
      <c r="F40" s="62">
        <v>2.72</v>
      </c>
      <c r="G40" s="62"/>
      <c r="H40" s="62"/>
      <c r="I40" s="62"/>
      <c r="J40" s="83">
        <v>0.2</v>
      </c>
      <c r="K40" s="62">
        <f t="shared" si="17"/>
        <v>0.95199999999999996</v>
      </c>
      <c r="L40" s="73">
        <v>0.08</v>
      </c>
      <c r="M40" s="75">
        <f>(F40+H40)*L40</f>
        <v>0.21760000000000002</v>
      </c>
      <c r="N40" s="76">
        <f t="shared" si="5"/>
        <v>6364800</v>
      </c>
      <c r="O40" s="76">
        <f t="shared" si="6"/>
        <v>0</v>
      </c>
      <c r="P40" s="76">
        <f t="shared" si="7"/>
        <v>0</v>
      </c>
      <c r="Q40" s="76">
        <f>J40*2340000</f>
        <v>468000</v>
      </c>
      <c r="R40" s="76">
        <f t="shared" si="7"/>
        <v>2227680</v>
      </c>
      <c r="S40" s="76">
        <f t="shared" si="14"/>
        <v>509184.00000000006</v>
      </c>
      <c r="T40" s="76">
        <f t="shared" si="8"/>
        <v>9569664</v>
      </c>
      <c r="U40" s="76">
        <f t="shared" si="16"/>
        <v>721768.32</v>
      </c>
      <c r="V40" s="76">
        <f t="shared" si="10"/>
        <v>8847896</v>
      </c>
      <c r="W40" s="82"/>
      <c r="X40" s="78"/>
      <c r="Y40" s="79">
        <f t="shared" si="0"/>
        <v>1168577.28</v>
      </c>
      <c r="Z40" s="79">
        <f t="shared" si="1"/>
        <v>206219.51999999999</v>
      </c>
      <c r="AA40" s="79">
        <f t="shared" si="2"/>
        <v>68739.839999999997</v>
      </c>
      <c r="AB40" s="79">
        <f t="shared" si="3"/>
        <v>34369.919999999998</v>
      </c>
      <c r="AC40" s="79">
        <f t="shared" si="4"/>
        <v>137479.67999999999</v>
      </c>
      <c r="AD40" s="8">
        <v>721768.32000000007</v>
      </c>
      <c r="AE40" s="80">
        <f t="shared" si="11"/>
        <v>0</v>
      </c>
    </row>
    <row r="41" spans="1:31" ht="36" customHeight="1">
      <c r="A41" s="65">
        <f t="shared" si="15"/>
        <v>32</v>
      </c>
      <c r="B41" s="108" t="s">
        <v>94</v>
      </c>
      <c r="C41" s="70">
        <v>35204</v>
      </c>
      <c r="D41" s="70" t="s">
        <v>95</v>
      </c>
      <c r="E41" s="72" t="s">
        <v>38</v>
      </c>
      <c r="F41" s="62">
        <v>2.1</v>
      </c>
      <c r="G41" s="62"/>
      <c r="H41" s="62"/>
      <c r="I41" s="62"/>
      <c r="J41" s="83"/>
      <c r="K41" s="62">
        <f>(F41+H41*F41)*35%</f>
        <v>0.73499999999999999</v>
      </c>
      <c r="L41" s="73">
        <v>0</v>
      </c>
      <c r="M41" s="75">
        <f t="shared" ref="M41:M43" si="19">(F41+H41)*L41</f>
        <v>0</v>
      </c>
      <c r="N41" s="76">
        <f t="shared" si="5"/>
        <v>4914000</v>
      </c>
      <c r="O41" s="76">
        <f t="shared" si="6"/>
        <v>0</v>
      </c>
      <c r="P41" s="76">
        <f t="shared" si="7"/>
        <v>0</v>
      </c>
      <c r="Q41" s="76">
        <f t="shared" si="7"/>
        <v>0</v>
      </c>
      <c r="R41" s="76">
        <f t="shared" si="7"/>
        <v>1719900</v>
      </c>
      <c r="S41" s="76">
        <f t="shared" si="14"/>
        <v>0</v>
      </c>
      <c r="T41" s="76">
        <f t="shared" si="8"/>
        <v>6633900</v>
      </c>
      <c r="U41" s="76">
        <f t="shared" si="16"/>
        <v>515970</v>
      </c>
      <c r="V41" s="76">
        <f t="shared" si="10"/>
        <v>6117930</v>
      </c>
      <c r="W41" s="82"/>
      <c r="X41" s="78"/>
      <c r="Y41" s="79">
        <f t="shared" si="0"/>
        <v>835380.00000000012</v>
      </c>
      <c r="Z41" s="79">
        <f t="shared" si="1"/>
        <v>147420</v>
      </c>
      <c r="AA41" s="79">
        <f t="shared" si="2"/>
        <v>49140</v>
      </c>
      <c r="AB41" s="79">
        <f t="shared" si="3"/>
        <v>24570</v>
      </c>
      <c r="AC41" s="79">
        <f t="shared" si="4"/>
        <v>98280</v>
      </c>
      <c r="AD41" s="8">
        <v>515970</v>
      </c>
      <c r="AE41" s="80">
        <f t="shared" si="11"/>
        <v>0</v>
      </c>
    </row>
    <row r="42" spans="1:31" ht="36" customHeight="1">
      <c r="A42" s="65">
        <f t="shared" si="15"/>
        <v>33</v>
      </c>
      <c r="B42" s="81" t="s">
        <v>96</v>
      </c>
      <c r="C42" s="70">
        <v>31860</v>
      </c>
      <c r="D42" s="70" t="s">
        <v>97</v>
      </c>
      <c r="E42" s="72" t="s">
        <v>38</v>
      </c>
      <c r="F42" s="109">
        <v>2.34</v>
      </c>
      <c r="G42" s="109"/>
      <c r="H42" s="62"/>
      <c r="I42" s="62"/>
      <c r="J42" s="83">
        <v>0.1</v>
      </c>
      <c r="K42" s="62">
        <v>0</v>
      </c>
      <c r="L42" s="73">
        <v>0</v>
      </c>
      <c r="M42" s="75">
        <f t="shared" si="19"/>
        <v>0</v>
      </c>
      <c r="N42" s="76">
        <f t="shared" si="5"/>
        <v>5475600</v>
      </c>
      <c r="O42" s="76">
        <f t="shared" si="6"/>
        <v>0</v>
      </c>
      <c r="P42" s="76">
        <f t="shared" si="7"/>
        <v>0</v>
      </c>
      <c r="Q42" s="76">
        <f t="shared" si="7"/>
        <v>234000</v>
      </c>
      <c r="R42" s="76">
        <f t="shared" si="7"/>
        <v>0</v>
      </c>
      <c r="S42" s="76">
        <f t="shared" si="14"/>
        <v>0</v>
      </c>
      <c r="T42" s="76">
        <f>SUM(N42:S42)</f>
        <v>5709600</v>
      </c>
      <c r="U42" s="76">
        <f t="shared" si="16"/>
        <v>574938</v>
      </c>
      <c r="V42" s="76">
        <f>ROUND((T42-U42),0)</f>
        <v>5134662</v>
      </c>
      <c r="W42" s="82"/>
      <c r="X42" s="78" t="s">
        <v>30</v>
      </c>
      <c r="Y42" s="79">
        <f t="shared" si="0"/>
        <v>930852.00000000012</v>
      </c>
      <c r="Z42" s="79">
        <f t="shared" si="1"/>
        <v>164268</v>
      </c>
      <c r="AA42" s="79">
        <f t="shared" si="2"/>
        <v>54756</v>
      </c>
      <c r="AB42" s="79">
        <f t="shared" si="3"/>
        <v>27378</v>
      </c>
      <c r="AC42" s="79">
        <f t="shared" si="4"/>
        <v>109512</v>
      </c>
      <c r="AD42" s="8">
        <v>574938</v>
      </c>
      <c r="AE42" s="80">
        <f t="shared" si="11"/>
        <v>0</v>
      </c>
    </row>
    <row r="43" spans="1:31" ht="36" customHeight="1">
      <c r="A43" s="65">
        <f t="shared" si="15"/>
        <v>34</v>
      </c>
      <c r="B43" s="108" t="s">
        <v>98</v>
      </c>
      <c r="C43" s="70">
        <v>23728</v>
      </c>
      <c r="D43" s="70" t="s">
        <v>99</v>
      </c>
      <c r="E43" s="72" t="s">
        <v>100</v>
      </c>
      <c r="F43" s="109">
        <v>3.48</v>
      </c>
      <c r="G43" s="109"/>
      <c r="H43" s="73">
        <v>0.24</v>
      </c>
      <c r="I43" s="62"/>
      <c r="J43" s="83">
        <v>0.15</v>
      </c>
      <c r="K43" s="62">
        <v>0</v>
      </c>
      <c r="L43" s="73">
        <v>0</v>
      </c>
      <c r="M43" s="75">
        <f t="shared" si="19"/>
        <v>0</v>
      </c>
      <c r="N43" s="76">
        <f>F43*2340000</f>
        <v>8143200</v>
      </c>
      <c r="O43" s="76">
        <f>H43*F43*2340000</f>
        <v>1954367.9999999998</v>
      </c>
      <c r="P43" s="76">
        <f t="shared" si="7"/>
        <v>0</v>
      </c>
      <c r="Q43" s="76">
        <f t="shared" si="7"/>
        <v>351000</v>
      </c>
      <c r="R43" s="76">
        <f>K43*2340000</f>
        <v>0</v>
      </c>
      <c r="S43" s="76">
        <f t="shared" si="14"/>
        <v>0</v>
      </c>
      <c r="T43" s="76">
        <f>SUM(N43:S43)</f>
        <v>10448568</v>
      </c>
      <c r="U43" s="76">
        <f>(N43+O43+S43)*10.5%</f>
        <v>1060244.6399999999</v>
      </c>
      <c r="V43" s="76">
        <f t="shared" si="10"/>
        <v>9388323</v>
      </c>
      <c r="W43" s="82"/>
      <c r="X43" s="78" t="s">
        <v>30</v>
      </c>
      <c r="Y43" s="79">
        <f t="shared" si="0"/>
        <v>1716586.56</v>
      </c>
      <c r="Z43" s="79">
        <f t="shared" si="1"/>
        <v>302927.03999999998</v>
      </c>
      <c r="AA43" s="79">
        <f t="shared" si="2"/>
        <v>100975.68000000001</v>
      </c>
      <c r="AB43" s="79">
        <f t="shared" si="3"/>
        <v>50487.840000000004</v>
      </c>
      <c r="AC43" s="79">
        <f t="shared" si="4"/>
        <v>201951.36000000002</v>
      </c>
      <c r="AD43" s="8">
        <v>1060244.6399999999</v>
      </c>
      <c r="AE43" s="80">
        <f t="shared" si="11"/>
        <v>0</v>
      </c>
    </row>
    <row r="44" spans="1:31" s="2" customFormat="1" ht="30" customHeight="1">
      <c r="A44" s="110"/>
      <c r="B44" s="110" t="s">
        <v>101</v>
      </c>
      <c r="C44" s="111"/>
      <c r="D44" s="111"/>
      <c r="E44" s="112"/>
      <c r="F44" s="113">
        <f>SUM(F10:F43)</f>
        <v>116.69999999999999</v>
      </c>
      <c r="G44" s="113"/>
      <c r="H44" s="114">
        <f t="shared" ref="H44:O44" si="20">SUM(H10:H43)</f>
        <v>0.24</v>
      </c>
      <c r="I44" s="115">
        <f t="shared" si="20"/>
        <v>1.2</v>
      </c>
      <c r="J44" s="115">
        <f t="shared" si="20"/>
        <v>1.7</v>
      </c>
      <c r="K44" s="116">
        <f t="shared" si="20"/>
        <v>39.227999999999987</v>
      </c>
      <c r="L44" s="114">
        <f t="shared" si="20"/>
        <v>4.7700000000000005</v>
      </c>
      <c r="M44" s="115">
        <f t="shared" si="20"/>
        <v>18.020500000000002</v>
      </c>
      <c r="N44" s="117">
        <f t="shared" si="20"/>
        <v>273078000</v>
      </c>
      <c r="O44" s="117">
        <f t="shared" si="20"/>
        <v>1954367.9999999998</v>
      </c>
      <c r="P44" s="117">
        <f t="shared" ref="P44:U44" si="21">ROUND(SUM(P10:P43),0)</f>
        <v>2808000</v>
      </c>
      <c r="Q44" s="117">
        <f t="shared" si="21"/>
        <v>3978000</v>
      </c>
      <c r="R44" s="117">
        <f t="shared" si="21"/>
        <v>91793520</v>
      </c>
      <c r="S44" s="117">
        <f t="shared" si="21"/>
        <v>42167970</v>
      </c>
      <c r="T44" s="117">
        <f t="shared" si="21"/>
        <v>415779858</v>
      </c>
      <c r="U44" s="117">
        <f t="shared" si="21"/>
        <v>33600875</v>
      </c>
      <c r="V44" s="117">
        <f>SUM(V10:V43)</f>
        <v>382178984</v>
      </c>
      <c r="W44" s="82"/>
      <c r="X44" s="78"/>
      <c r="Y44" s="118">
        <f>SUM(Y10:Y43)</f>
        <v>54401417.460000008</v>
      </c>
      <c r="Z44" s="118">
        <f>SUM(Z10:Z43)</f>
        <v>9600250.139999995</v>
      </c>
      <c r="AA44" s="118">
        <f>SUM(AA10:AA43)</f>
        <v>3200083.38</v>
      </c>
      <c r="AB44" s="79">
        <f t="shared" si="3"/>
        <v>1600041.69</v>
      </c>
      <c r="AC44" s="118">
        <f>SUM(AC10:AC43)</f>
        <v>6400166.7599999998</v>
      </c>
      <c r="AD44" s="89"/>
      <c r="AE44" s="80">
        <f t="shared" si="11"/>
        <v>33600875</v>
      </c>
    </row>
    <row r="45" spans="1:31" s="2" customFormat="1" ht="9.75" customHeight="1">
      <c r="A45" s="119" t="s">
        <v>102</v>
      </c>
      <c r="B45" s="120" t="s">
        <v>103</v>
      </c>
      <c r="C45" s="121"/>
      <c r="D45" s="121"/>
      <c r="E45" s="121"/>
      <c r="F45" s="121"/>
      <c r="G45" s="121"/>
      <c r="H45" s="121"/>
      <c r="I45" s="121"/>
      <c r="J45" s="121"/>
      <c r="K45" s="121"/>
      <c r="L45" s="121"/>
      <c r="M45" s="122"/>
      <c r="N45" s="76"/>
      <c r="O45" s="123"/>
      <c r="P45" s="123"/>
      <c r="Q45" s="123"/>
      <c r="R45" s="123"/>
      <c r="S45" s="123"/>
      <c r="T45" s="76"/>
      <c r="U45" s="76"/>
      <c r="V45" s="76"/>
      <c r="W45" s="124"/>
      <c r="X45" s="78"/>
      <c r="Y45" s="79"/>
      <c r="Z45" s="79"/>
      <c r="AA45" s="79"/>
      <c r="AB45" s="79">
        <f t="shared" si="3"/>
        <v>0</v>
      </c>
      <c r="AC45" s="79"/>
      <c r="AD45" s="89"/>
      <c r="AE45" s="80">
        <f t="shared" si="11"/>
        <v>0</v>
      </c>
    </row>
    <row r="46" spans="1:31" ht="34.5" customHeight="1">
      <c r="A46" s="125">
        <v>1</v>
      </c>
      <c r="B46" s="81" t="s">
        <v>82</v>
      </c>
      <c r="C46" s="70">
        <v>28487</v>
      </c>
      <c r="D46" s="70" t="s">
        <v>104</v>
      </c>
      <c r="E46" s="65" t="s">
        <v>105</v>
      </c>
      <c r="F46" s="62"/>
      <c r="G46" s="126">
        <v>4960000</v>
      </c>
      <c r="H46" s="62"/>
      <c r="I46" s="62"/>
      <c r="J46" s="83"/>
      <c r="K46" s="76"/>
      <c r="L46" s="76"/>
      <c r="M46" s="76"/>
      <c r="N46" s="76">
        <f>G46</f>
        <v>4960000</v>
      </c>
      <c r="O46" s="76">
        <f t="shared" ref="O46:O55" si="22">H46*F46*1800000</f>
        <v>0</v>
      </c>
      <c r="P46" s="76">
        <f>I46*2340000</f>
        <v>0</v>
      </c>
      <c r="Q46" s="76">
        <f>J46*2340000</f>
        <v>0</v>
      </c>
      <c r="R46" s="76">
        <f t="shared" ref="R46:R55" si="23">K46*1490000</f>
        <v>0</v>
      </c>
      <c r="S46" s="76">
        <f t="shared" ref="S46:S55" si="24">(F46+H46*F46+I46)*1490000*L46</f>
        <v>0</v>
      </c>
      <c r="T46" s="76">
        <f>SUM(N46:S46)</f>
        <v>4960000</v>
      </c>
      <c r="U46" s="76">
        <f t="shared" ref="U46:U55" si="25">(N46+O46+S46)*10.5%</f>
        <v>520800</v>
      </c>
      <c r="V46" s="76">
        <f>ROUND((T46-U46),0)</f>
        <v>4439200</v>
      </c>
      <c r="W46" s="82"/>
      <c r="X46" s="78" t="s">
        <v>30</v>
      </c>
      <c r="Y46" s="79">
        <f t="shared" ref="Y46:Y55" si="26">(N46+O46+P46+S46)*17%</f>
        <v>843200.00000000012</v>
      </c>
      <c r="Z46" s="79">
        <f t="shared" ref="Z46:Z55" si="27">(N46+O46+P46+S46)*3%</f>
        <v>148800</v>
      </c>
      <c r="AA46" s="79">
        <f t="shared" ref="AA46:AA55" si="28">(N46+O46+P46+S46)*1%</f>
        <v>49600</v>
      </c>
      <c r="AB46" s="79">
        <f t="shared" si="3"/>
        <v>24800</v>
      </c>
      <c r="AC46" s="79">
        <f t="shared" ref="AC46:AC55" si="29">(N46+O46+P46+S46)*2%</f>
        <v>99200</v>
      </c>
      <c r="AD46" s="8">
        <v>520800</v>
      </c>
      <c r="AE46" s="80">
        <f t="shared" si="11"/>
        <v>0</v>
      </c>
    </row>
    <row r="47" spans="1:31" ht="34.5" customHeight="1">
      <c r="A47" s="125">
        <v>2</v>
      </c>
      <c r="B47" s="81" t="s">
        <v>106</v>
      </c>
      <c r="C47" s="70">
        <v>28967</v>
      </c>
      <c r="D47" s="70" t="s">
        <v>107</v>
      </c>
      <c r="E47" s="65" t="s">
        <v>105</v>
      </c>
      <c r="F47" s="62"/>
      <c r="G47" s="126">
        <v>4960000</v>
      </c>
      <c r="H47" s="62"/>
      <c r="I47" s="62"/>
      <c r="J47" s="76"/>
      <c r="K47" s="76"/>
      <c r="L47" s="76"/>
      <c r="M47" s="76"/>
      <c r="N47" s="76">
        <f t="shared" ref="N47:N55" si="30">G47</f>
        <v>4960000</v>
      </c>
      <c r="O47" s="76">
        <f t="shared" si="22"/>
        <v>0</v>
      </c>
      <c r="P47" s="76">
        <f t="shared" ref="P47:Q55" si="31">I47*2340000</f>
        <v>0</v>
      </c>
      <c r="Q47" s="76">
        <f t="shared" si="31"/>
        <v>0</v>
      </c>
      <c r="R47" s="76">
        <f t="shared" si="23"/>
        <v>0</v>
      </c>
      <c r="S47" s="76">
        <f t="shared" si="24"/>
        <v>0</v>
      </c>
      <c r="T47" s="76">
        <f t="shared" ref="T47:T55" si="32">SUM(N47:S47)</f>
        <v>4960000</v>
      </c>
      <c r="U47" s="76">
        <f t="shared" si="25"/>
        <v>520800</v>
      </c>
      <c r="V47" s="76">
        <f>ROUND((T47-U47),0)</f>
        <v>4439200</v>
      </c>
      <c r="W47" s="82"/>
      <c r="X47" s="78"/>
      <c r="Y47" s="79">
        <f t="shared" si="26"/>
        <v>843200.00000000012</v>
      </c>
      <c r="Z47" s="79">
        <f t="shared" si="27"/>
        <v>148800</v>
      </c>
      <c r="AA47" s="79">
        <f t="shared" si="28"/>
        <v>49600</v>
      </c>
      <c r="AB47" s="79">
        <f t="shared" si="3"/>
        <v>24800</v>
      </c>
      <c r="AC47" s="79">
        <f t="shared" si="29"/>
        <v>99200</v>
      </c>
      <c r="AD47" s="8">
        <v>520800</v>
      </c>
      <c r="AE47" s="80">
        <f t="shared" si="11"/>
        <v>0</v>
      </c>
    </row>
    <row r="48" spans="1:31" ht="34.5" customHeight="1">
      <c r="A48" s="125">
        <v>3</v>
      </c>
      <c r="B48" s="81" t="s">
        <v>108</v>
      </c>
      <c r="C48" s="70">
        <v>28691</v>
      </c>
      <c r="D48" s="70" t="s">
        <v>109</v>
      </c>
      <c r="E48" s="65" t="s">
        <v>105</v>
      </c>
      <c r="F48" s="62"/>
      <c r="G48" s="126">
        <v>4960000</v>
      </c>
      <c r="H48" s="62"/>
      <c r="I48" s="62"/>
      <c r="J48" s="76"/>
      <c r="K48" s="76"/>
      <c r="L48" s="76"/>
      <c r="M48" s="76"/>
      <c r="N48" s="76">
        <f t="shared" si="30"/>
        <v>4960000</v>
      </c>
      <c r="O48" s="76">
        <f t="shared" si="22"/>
        <v>0</v>
      </c>
      <c r="P48" s="76">
        <f t="shared" si="31"/>
        <v>0</v>
      </c>
      <c r="Q48" s="76">
        <f t="shared" si="31"/>
        <v>0</v>
      </c>
      <c r="R48" s="76">
        <f t="shared" si="23"/>
        <v>0</v>
      </c>
      <c r="S48" s="76">
        <f t="shared" si="24"/>
        <v>0</v>
      </c>
      <c r="T48" s="76">
        <f t="shared" si="32"/>
        <v>4960000</v>
      </c>
      <c r="U48" s="76">
        <f t="shared" si="25"/>
        <v>520800</v>
      </c>
      <c r="V48" s="76">
        <f>ROUND((T48-U48),0)</f>
        <v>4439200</v>
      </c>
      <c r="W48" s="82"/>
      <c r="X48" s="78" t="s">
        <v>30</v>
      </c>
      <c r="Y48" s="79">
        <f t="shared" si="26"/>
        <v>843200.00000000012</v>
      </c>
      <c r="Z48" s="79">
        <f t="shared" si="27"/>
        <v>148800</v>
      </c>
      <c r="AA48" s="79">
        <f t="shared" si="28"/>
        <v>49600</v>
      </c>
      <c r="AB48" s="79">
        <f t="shared" si="3"/>
        <v>24800</v>
      </c>
      <c r="AC48" s="79">
        <f t="shared" si="29"/>
        <v>99200</v>
      </c>
      <c r="AD48" s="8">
        <v>520800</v>
      </c>
      <c r="AE48" s="80">
        <f t="shared" si="11"/>
        <v>0</v>
      </c>
    </row>
    <row r="49" spans="1:31" ht="34.5" customHeight="1">
      <c r="A49" s="125">
        <v>4</v>
      </c>
      <c r="B49" s="81" t="s">
        <v>110</v>
      </c>
      <c r="C49" s="70">
        <v>28212</v>
      </c>
      <c r="D49" s="70" t="s">
        <v>111</v>
      </c>
      <c r="E49" s="65" t="s">
        <v>105</v>
      </c>
      <c r="F49" s="62"/>
      <c r="G49" s="126">
        <v>4960000</v>
      </c>
      <c r="H49" s="62"/>
      <c r="I49" s="62"/>
      <c r="J49" s="83">
        <v>0.2</v>
      </c>
      <c r="K49" s="76"/>
      <c r="L49" s="76"/>
      <c r="M49" s="76"/>
      <c r="N49" s="76">
        <f t="shared" si="30"/>
        <v>4960000</v>
      </c>
      <c r="O49" s="76">
        <f t="shared" si="22"/>
        <v>0</v>
      </c>
      <c r="P49" s="76">
        <f t="shared" si="31"/>
        <v>0</v>
      </c>
      <c r="Q49" s="76">
        <f t="shared" si="31"/>
        <v>468000</v>
      </c>
      <c r="R49" s="76">
        <f t="shared" si="23"/>
        <v>0</v>
      </c>
      <c r="S49" s="76">
        <f t="shared" si="24"/>
        <v>0</v>
      </c>
      <c r="T49" s="76">
        <f>SUM(N49:S49)</f>
        <v>5428000</v>
      </c>
      <c r="U49" s="76">
        <f t="shared" si="25"/>
        <v>520800</v>
      </c>
      <c r="V49" s="76">
        <f>ROUND((T49-U49),0)</f>
        <v>4907200</v>
      </c>
      <c r="W49" s="82"/>
      <c r="X49" s="78" t="s">
        <v>30</v>
      </c>
      <c r="Y49" s="79">
        <f t="shared" si="26"/>
        <v>843200.00000000012</v>
      </c>
      <c r="Z49" s="79">
        <f t="shared" si="27"/>
        <v>148800</v>
      </c>
      <c r="AA49" s="79">
        <f t="shared" si="28"/>
        <v>49600</v>
      </c>
      <c r="AB49" s="79">
        <f t="shared" si="3"/>
        <v>24800</v>
      </c>
      <c r="AC49" s="79">
        <f t="shared" si="29"/>
        <v>99200</v>
      </c>
      <c r="AD49" s="8">
        <v>520800</v>
      </c>
      <c r="AE49" s="80">
        <f t="shared" si="11"/>
        <v>0</v>
      </c>
    </row>
    <row r="50" spans="1:31" ht="34.5" customHeight="1">
      <c r="A50" s="125">
        <v>5</v>
      </c>
      <c r="B50" s="81" t="s">
        <v>112</v>
      </c>
      <c r="C50" s="70">
        <v>27890</v>
      </c>
      <c r="D50" s="70" t="s">
        <v>113</v>
      </c>
      <c r="E50" s="65" t="s">
        <v>105</v>
      </c>
      <c r="F50" s="62"/>
      <c r="G50" s="126">
        <v>4960000</v>
      </c>
      <c r="H50" s="62"/>
      <c r="I50" s="62"/>
      <c r="J50" s="76"/>
      <c r="K50" s="76"/>
      <c r="L50" s="76"/>
      <c r="M50" s="76"/>
      <c r="N50" s="76">
        <f t="shared" si="30"/>
        <v>4960000</v>
      </c>
      <c r="O50" s="76">
        <f t="shared" si="22"/>
        <v>0</v>
      </c>
      <c r="P50" s="76">
        <f t="shared" si="31"/>
        <v>0</v>
      </c>
      <c r="Q50" s="76">
        <f t="shared" si="31"/>
        <v>0</v>
      </c>
      <c r="R50" s="76">
        <f t="shared" si="23"/>
        <v>0</v>
      </c>
      <c r="S50" s="76">
        <f t="shared" si="24"/>
        <v>0</v>
      </c>
      <c r="T50" s="76">
        <f t="shared" si="32"/>
        <v>4960000</v>
      </c>
      <c r="U50" s="76">
        <f t="shared" si="25"/>
        <v>520800</v>
      </c>
      <c r="V50" s="76">
        <f t="shared" ref="V50:V54" si="33">ROUND((T50-U50),0)</f>
        <v>4439200</v>
      </c>
      <c r="W50" s="82"/>
      <c r="X50" s="78"/>
      <c r="Y50" s="79">
        <f t="shared" si="26"/>
        <v>843200.00000000012</v>
      </c>
      <c r="Z50" s="79">
        <f t="shared" si="27"/>
        <v>148800</v>
      </c>
      <c r="AA50" s="79">
        <f t="shared" si="28"/>
        <v>49600</v>
      </c>
      <c r="AB50" s="79">
        <f t="shared" si="3"/>
        <v>24800</v>
      </c>
      <c r="AC50" s="79">
        <f t="shared" si="29"/>
        <v>99200</v>
      </c>
      <c r="AD50" s="8">
        <v>520800</v>
      </c>
      <c r="AE50" s="80">
        <f t="shared" si="11"/>
        <v>0</v>
      </c>
    </row>
    <row r="51" spans="1:31" s="2" customFormat="1" ht="34.5" customHeight="1">
      <c r="A51" s="125">
        <v>6</v>
      </c>
      <c r="B51" s="81" t="s">
        <v>114</v>
      </c>
      <c r="C51" s="70">
        <v>26542</v>
      </c>
      <c r="D51" s="70" t="s">
        <v>115</v>
      </c>
      <c r="E51" s="65" t="s">
        <v>105</v>
      </c>
      <c r="F51" s="62"/>
      <c r="G51" s="126">
        <v>4960000</v>
      </c>
      <c r="H51" s="62"/>
      <c r="I51" s="62"/>
      <c r="J51" s="76"/>
      <c r="K51" s="76"/>
      <c r="L51" s="76"/>
      <c r="M51" s="76"/>
      <c r="N51" s="76">
        <f t="shared" si="30"/>
        <v>4960000</v>
      </c>
      <c r="O51" s="76">
        <f t="shared" si="22"/>
        <v>0</v>
      </c>
      <c r="P51" s="76">
        <f t="shared" si="31"/>
        <v>0</v>
      </c>
      <c r="Q51" s="76">
        <f t="shared" si="31"/>
        <v>0</v>
      </c>
      <c r="R51" s="76">
        <f t="shared" si="23"/>
        <v>0</v>
      </c>
      <c r="S51" s="76">
        <f t="shared" si="24"/>
        <v>0</v>
      </c>
      <c r="T51" s="76">
        <f t="shared" si="32"/>
        <v>4960000</v>
      </c>
      <c r="U51" s="76">
        <f t="shared" si="25"/>
        <v>520800</v>
      </c>
      <c r="V51" s="76">
        <f t="shared" si="33"/>
        <v>4439200</v>
      </c>
      <c r="W51" s="82"/>
      <c r="X51" s="78"/>
      <c r="Y51" s="79">
        <f t="shared" si="26"/>
        <v>843200.00000000012</v>
      </c>
      <c r="Z51" s="79">
        <f t="shared" si="27"/>
        <v>148800</v>
      </c>
      <c r="AA51" s="79">
        <f t="shared" si="28"/>
        <v>49600</v>
      </c>
      <c r="AB51" s="79">
        <f t="shared" si="3"/>
        <v>24800</v>
      </c>
      <c r="AC51" s="79">
        <f t="shared" si="29"/>
        <v>99200</v>
      </c>
      <c r="AD51" s="89">
        <v>520800</v>
      </c>
      <c r="AE51" s="80">
        <f t="shared" si="11"/>
        <v>0</v>
      </c>
    </row>
    <row r="52" spans="1:31" ht="34.5" customHeight="1">
      <c r="A52" s="125">
        <v>7</v>
      </c>
      <c r="B52" s="81" t="s">
        <v>116</v>
      </c>
      <c r="C52" s="70">
        <v>26042</v>
      </c>
      <c r="D52" s="70" t="s">
        <v>117</v>
      </c>
      <c r="E52" s="65" t="s">
        <v>105</v>
      </c>
      <c r="F52" s="62"/>
      <c r="G52" s="126">
        <v>4960000</v>
      </c>
      <c r="H52" s="62"/>
      <c r="I52" s="62"/>
      <c r="J52" s="76"/>
      <c r="K52" s="76"/>
      <c r="L52" s="76"/>
      <c r="M52" s="76"/>
      <c r="N52" s="76">
        <f t="shared" si="30"/>
        <v>4960000</v>
      </c>
      <c r="O52" s="76">
        <f t="shared" si="22"/>
        <v>0</v>
      </c>
      <c r="P52" s="76">
        <f t="shared" si="31"/>
        <v>0</v>
      </c>
      <c r="Q52" s="76">
        <f t="shared" si="31"/>
        <v>0</v>
      </c>
      <c r="R52" s="76">
        <f t="shared" si="23"/>
        <v>0</v>
      </c>
      <c r="S52" s="76">
        <f t="shared" si="24"/>
        <v>0</v>
      </c>
      <c r="T52" s="76">
        <f t="shared" si="32"/>
        <v>4960000</v>
      </c>
      <c r="U52" s="76">
        <f t="shared" si="25"/>
        <v>520800</v>
      </c>
      <c r="V52" s="76">
        <f t="shared" si="33"/>
        <v>4439200</v>
      </c>
      <c r="W52" s="82"/>
      <c r="X52" s="78"/>
      <c r="Y52" s="79">
        <f t="shared" si="26"/>
        <v>843200.00000000012</v>
      </c>
      <c r="Z52" s="79">
        <f t="shared" si="27"/>
        <v>148800</v>
      </c>
      <c r="AA52" s="79">
        <f t="shared" si="28"/>
        <v>49600</v>
      </c>
      <c r="AB52" s="79">
        <f t="shared" si="3"/>
        <v>24800</v>
      </c>
      <c r="AC52" s="79">
        <f t="shared" si="29"/>
        <v>99200</v>
      </c>
      <c r="AD52" s="8">
        <v>520800</v>
      </c>
      <c r="AE52" s="80">
        <f t="shared" si="11"/>
        <v>0</v>
      </c>
    </row>
    <row r="53" spans="1:31" ht="34.5" customHeight="1">
      <c r="A53" s="125">
        <v>8</v>
      </c>
      <c r="B53" s="81" t="s">
        <v>118</v>
      </c>
      <c r="C53" s="70">
        <v>29269</v>
      </c>
      <c r="D53" s="70" t="s">
        <v>119</v>
      </c>
      <c r="E53" s="65" t="s">
        <v>105</v>
      </c>
      <c r="F53" s="62"/>
      <c r="G53" s="126">
        <v>4960000</v>
      </c>
      <c r="H53" s="62"/>
      <c r="I53" s="62"/>
      <c r="J53" s="83">
        <v>0.15</v>
      </c>
      <c r="K53" s="76"/>
      <c r="L53" s="76"/>
      <c r="M53" s="76"/>
      <c r="N53" s="76">
        <f t="shared" si="30"/>
        <v>4960000</v>
      </c>
      <c r="O53" s="76">
        <f t="shared" si="22"/>
        <v>0</v>
      </c>
      <c r="P53" s="76">
        <f t="shared" si="31"/>
        <v>0</v>
      </c>
      <c r="Q53" s="76">
        <f t="shared" si="31"/>
        <v>351000</v>
      </c>
      <c r="R53" s="76">
        <f t="shared" si="23"/>
        <v>0</v>
      </c>
      <c r="S53" s="76">
        <f t="shared" si="24"/>
        <v>0</v>
      </c>
      <c r="T53" s="76">
        <f t="shared" si="32"/>
        <v>5311000</v>
      </c>
      <c r="U53" s="76">
        <f t="shared" si="25"/>
        <v>520800</v>
      </c>
      <c r="V53" s="76">
        <f t="shared" si="33"/>
        <v>4790200</v>
      </c>
      <c r="W53" s="82"/>
      <c r="X53" s="78"/>
      <c r="Y53" s="79">
        <f t="shared" si="26"/>
        <v>843200.00000000012</v>
      </c>
      <c r="Z53" s="79">
        <f t="shared" si="27"/>
        <v>148800</v>
      </c>
      <c r="AA53" s="79">
        <f t="shared" si="28"/>
        <v>49600</v>
      </c>
      <c r="AB53" s="79">
        <f t="shared" si="3"/>
        <v>24800</v>
      </c>
      <c r="AC53" s="79">
        <f t="shared" si="29"/>
        <v>99200</v>
      </c>
      <c r="AD53" s="8">
        <v>520800</v>
      </c>
      <c r="AE53" s="80">
        <f t="shared" si="11"/>
        <v>0</v>
      </c>
    </row>
    <row r="54" spans="1:31" ht="34.5" customHeight="1">
      <c r="A54" s="125">
        <v>9</v>
      </c>
      <c r="B54" s="81" t="s">
        <v>120</v>
      </c>
      <c r="C54" s="70">
        <v>26748</v>
      </c>
      <c r="D54" s="70" t="s">
        <v>121</v>
      </c>
      <c r="E54" s="65" t="s">
        <v>100</v>
      </c>
      <c r="F54" s="62"/>
      <c r="G54" s="126">
        <v>4960000</v>
      </c>
      <c r="H54" s="62"/>
      <c r="I54" s="62"/>
      <c r="J54" s="83">
        <v>0</v>
      </c>
      <c r="K54" s="76"/>
      <c r="L54" s="76"/>
      <c r="M54" s="76"/>
      <c r="N54" s="76">
        <f t="shared" si="30"/>
        <v>4960000</v>
      </c>
      <c r="O54" s="76">
        <f t="shared" si="22"/>
        <v>0</v>
      </c>
      <c r="P54" s="76">
        <f t="shared" si="31"/>
        <v>0</v>
      </c>
      <c r="Q54" s="76">
        <f t="shared" si="31"/>
        <v>0</v>
      </c>
      <c r="R54" s="76">
        <f t="shared" si="23"/>
        <v>0</v>
      </c>
      <c r="S54" s="76">
        <f t="shared" si="24"/>
        <v>0</v>
      </c>
      <c r="T54" s="76">
        <f t="shared" si="32"/>
        <v>4960000</v>
      </c>
      <c r="U54" s="76">
        <f t="shared" si="25"/>
        <v>520800</v>
      </c>
      <c r="V54" s="76">
        <f t="shared" si="33"/>
        <v>4439200</v>
      </c>
      <c r="W54" s="82"/>
      <c r="X54" s="78"/>
      <c r="Y54" s="79">
        <f t="shared" si="26"/>
        <v>843200.00000000012</v>
      </c>
      <c r="Z54" s="79">
        <f t="shared" si="27"/>
        <v>148800</v>
      </c>
      <c r="AA54" s="79">
        <f t="shared" si="28"/>
        <v>49600</v>
      </c>
      <c r="AB54" s="79">
        <f t="shared" si="3"/>
        <v>24800</v>
      </c>
      <c r="AC54" s="79">
        <f t="shared" si="29"/>
        <v>99200</v>
      </c>
      <c r="AD54" s="8">
        <v>520800</v>
      </c>
      <c r="AE54" s="80">
        <f t="shared" si="11"/>
        <v>0</v>
      </c>
    </row>
    <row r="55" spans="1:31" ht="34.5" customHeight="1">
      <c r="A55" s="65">
        <v>10</v>
      </c>
      <c r="B55" s="81" t="s">
        <v>122</v>
      </c>
      <c r="C55" s="70">
        <v>34208</v>
      </c>
      <c r="D55" s="70" t="s">
        <v>123</v>
      </c>
      <c r="E55" s="65" t="s">
        <v>100</v>
      </c>
      <c r="F55" s="62"/>
      <c r="G55" s="126">
        <v>4960000</v>
      </c>
      <c r="H55" s="62"/>
      <c r="I55" s="62"/>
      <c r="J55" s="76"/>
      <c r="K55" s="76"/>
      <c r="L55" s="76"/>
      <c r="M55" s="76"/>
      <c r="N55" s="76">
        <f t="shared" si="30"/>
        <v>4960000</v>
      </c>
      <c r="O55" s="76">
        <f t="shared" si="22"/>
        <v>0</v>
      </c>
      <c r="P55" s="76">
        <f t="shared" si="31"/>
        <v>0</v>
      </c>
      <c r="Q55" s="76">
        <f t="shared" si="31"/>
        <v>0</v>
      </c>
      <c r="R55" s="76">
        <f t="shared" si="23"/>
        <v>0</v>
      </c>
      <c r="S55" s="76">
        <f t="shared" si="24"/>
        <v>0</v>
      </c>
      <c r="T55" s="76">
        <f t="shared" si="32"/>
        <v>4960000</v>
      </c>
      <c r="U55" s="76">
        <f t="shared" si="25"/>
        <v>520800</v>
      </c>
      <c r="V55" s="76">
        <f>ROUND((T55-U55),0)</f>
        <v>4439200</v>
      </c>
      <c r="W55" s="82"/>
      <c r="X55" s="78"/>
      <c r="Y55" s="79">
        <f t="shared" si="26"/>
        <v>843200.00000000012</v>
      </c>
      <c r="Z55" s="79">
        <f t="shared" si="27"/>
        <v>148800</v>
      </c>
      <c r="AA55" s="79">
        <f t="shared" si="28"/>
        <v>49600</v>
      </c>
      <c r="AB55" s="79">
        <f t="shared" si="3"/>
        <v>24800</v>
      </c>
      <c r="AC55" s="79">
        <f t="shared" si="29"/>
        <v>99200</v>
      </c>
      <c r="AD55" s="8">
        <v>520800</v>
      </c>
      <c r="AE55" s="80">
        <f t="shared" si="11"/>
        <v>0</v>
      </c>
    </row>
    <row r="56" spans="1:31" s="2" customFormat="1">
      <c r="A56" s="110"/>
      <c r="B56" s="110" t="s">
        <v>124</v>
      </c>
      <c r="C56" s="111"/>
      <c r="D56" s="111"/>
      <c r="E56" s="112"/>
      <c r="F56" s="113">
        <f t="shared" ref="F56:U56" si="34">SUM(F46:F55)</f>
        <v>0</v>
      </c>
      <c r="G56" s="127">
        <f t="shared" si="34"/>
        <v>49600000</v>
      </c>
      <c r="H56" s="113">
        <f t="shared" si="34"/>
        <v>0</v>
      </c>
      <c r="I56" s="113">
        <f t="shared" si="34"/>
        <v>0</v>
      </c>
      <c r="J56" s="128">
        <f t="shared" si="34"/>
        <v>0.35</v>
      </c>
      <c r="K56" s="129">
        <f t="shared" si="34"/>
        <v>0</v>
      </c>
      <c r="L56" s="129">
        <f t="shared" si="34"/>
        <v>0</v>
      </c>
      <c r="M56" s="129">
        <f t="shared" si="34"/>
        <v>0</v>
      </c>
      <c r="N56" s="129">
        <f t="shared" si="34"/>
        <v>49600000</v>
      </c>
      <c r="O56" s="129">
        <f t="shared" si="34"/>
        <v>0</v>
      </c>
      <c r="P56" s="129">
        <f t="shared" si="34"/>
        <v>0</v>
      </c>
      <c r="Q56" s="129">
        <f t="shared" si="34"/>
        <v>819000</v>
      </c>
      <c r="R56" s="129">
        <f t="shared" si="34"/>
        <v>0</v>
      </c>
      <c r="S56" s="129">
        <f t="shared" si="34"/>
        <v>0</v>
      </c>
      <c r="T56" s="129">
        <f t="shared" si="34"/>
        <v>50419000</v>
      </c>
      <c r="U56" s="129">
        <f t="shared" si="34"/>
        <v>5208000</v>
      </c>
      <c r="V56" s="129">
        <f>SUM(V46:V55)</f>
        <v>45211000</v>
      </c>
      <c r="W56" s="129"/>
      <c r="X56" s="78"/>
      <c r="Y56" s="118">
        <f>SUM(Y46:Y55)</f>
        <v>8432000.0000000019</v>
      </c>
      <c r="Z56" s="118">
        <f>SUM(Z46:Z55)</f>
        <v>1488000</v>
      </c>
      <c r="AA56" s="118">
        <f>SUM(AA46:AA55)</f>
        <v>496000</v>
      </c>
      <c r="AB56" s="79">
        <f t="shared" si="3"/>
        <v>248000</v>
      </c>
      <c r="AC56" s="118">
        <f>SUM(AC46:AC55)</f>
        <v>992000</v>
      </c>
      <c r="AD56" s="89"/>
      <c r="AE56" s="80">
        <f t="shared" si="11"/>
        <v>5208000</v>
      </c>
    </row>
    <row r="57" spans="1:31" s="2" customFormat="1">
      <c r="A57" s="130" t="s">
        <v>125</v>
      </c>
      <c r="B57" s="131" t="s">
        <v>126</v>
      </c>
      <c r="C57" s="132"/>
      <c r="D57" s="133"/>
      <c r="E57" s="86"/>
      <c r="F57" s="113"/>
      <c r="G57" s="113"/>
      <c r="H57" s="114"/>
      <c r="I57" s="115"/>
      <c r="J57" s="115"/>
      <c r="K57" s="116"/>
      <c r="L57" s="114"/>
      <c r="M57" s="115"/>
      <c r="N57" s="117"/>
      <c r="O57" s="117"/>
      <c r="P57" s="117"/>
      <c r="Q57" s="117"/>
      <c r="R57" s="117"/>
      <c r="S57" s="117"/>
      <c r="T57" s="117"/>
      <c r="U57" s="117"/>
      <c r="V57" s="117"/>
      <c r="W57" s="134"/>
      <c r="X57" s="78"/>
      <c r="Y57" s="118"/>
      <c r="Z57" s="118"/>
      <c r="AA57" s="118"/>
      <c r="AB57" s="79">
        <f t="shared" si="3"/>
        <v>0</v>
      </c>
      <c r="AC57" s="118"/>
      <c r="AD57" s="89"/>
      <c r="AE57" s="80">
        <f t="shared" si="11"/>
        <v>0</v>
      </c>
    </row>
    <row r="58" spans="1:31" s="2" customFormat="1" ht="21" customHeight="1">
      <c r="A58" s="65">
        <v>1</v>
      </c>
      <c r="B58" s="135"/>
      <c r="C58" s="136"/>
      <c r="D58" s="137"/>
      <c r="E58" s="137"/>
      <c r="F58" s="62"/>
      <c r="G58" s="62"/>
      <c r="H58" s="62"/>
      <c r="I58" s="62"/>
      <c r="J58" s="62">
        <v>0</v>
      </c>
      <c r="K58" s="138"/>
      <c r="L58" s="76"/>
      <c r="M58" s="62"/>
      <c r="N58" s="76">
        <f>F58*2340000</f>
        <v>0</v>
      </c>
      <c r="O58" s="76">
        <f>H58*F58*1800000</f>
        <v>0</v>
      </c>
      <c r="P58" s="76">
        <f>I58*1800000</f>
        <v>0</v>
      </c>
      <c r="Q58" s="139"/>
      <c r="R58" s="139">
        <f>K58*1800000</f>
        <v>0</v>
      </c>
      <c r="S58" s="76">
        <f>M58*1800000</f>
        <v>0</v>
      </c>
      <c r="T58" s="76">
        <f>SUM(N58:S58)</f>
        <v>0</v>
      </c>
      <c r="U58" s="76">
        <f>(N58+O58+P58+S58)*10.5%</f>
        <v>0</v>
      </c>
      <c r="V58" s="76">
        <f>ROUND((T58-U58),0)</f>
        <v>0</v>
      </c>
      <c r="W58" s="82"/>
      <c r="X58" s="78"/>
      <c r="Y58" s="79">
        <f>(N58+O58+P58+S58)*17.5%</f>
        <v>0</v>
      </c>
      <c r="Z58" s="79">
        <f>(N58+O58+P58+S58)*3%</f>
        <v>0</v>
      </c>
      <c r="AA58" s="79">
        <f>(N58+O58+P58+S58)*1%</f>
        <v>0</v>
      </c>
      <c r="AB58" s="79">
        <f t="shared" si="3"/>
        <v>0</v>
      </c>
      <c r="AC58" s="79">
        <f>(N58+O58+P58+S58)*2%</f>
        <v>0</v>
      </c>
      <c r="AD58" s="89"/>
      <c r="AE58" s="80">
        <f t="shared" si="11"/>
        <v>0</v>
      </c>
    </row>
    <row r="59" spans="1:31" s="2" customFormat="1" ht="26.25" customHeight="1">
      <c r="A59" s="110"/>
      <c r="B59" s="110" t="s">
        <v>127</v>
      </c>
      <c r="C59" s="111"/>
      <c r="D59" s="111"/>
      <c r="E59" s="112"/>
      <c r="F59" s="140">
        <f>F58</f>
        <v>0</v>
      </c>
      <c r="G59" s="140"/>
      <c r="H59" s="127">
        <f t="shared" ref="H59:V59" si="35">H58</f>
        <v>0</v>
      </c>
      <c r="I59" s="127">
        <f t="shared" si="35"/>
        <v>0</v>
      </c>
      <c r="J59" s="141">
        <f t="shared" si="35"/>
        <v>0</v>
      </c>
      <c r="K59" s="127">
        <f t="shared" si="35"/>
        <v>0</v>
      </c>
      <c r="L59" s="127">
        <f t="shared" si="35"/>
        <v>0</v>
      </c>
      <c r="M59" s="127">
        <f t="shared" si="35"/>
        <v>0</v>
      </c>
      <c r="N59" s="127">
        <f t="shared" si="35"/>
        <v>0</v>
      </c>
      <c r="O59" s="127">
        <f t="shared" si="35"/>
        <v>0</v>
      </c>
      <c r="P59" s="127">
        <f t="shared" si="35"/>
        <v>0</v>
      </c>
      <c r="Q59" s="142">
        <f t="shared" si="35"/>
        <v>0</v>
      </c>
      <c r="R59" s="142">
        <f t="shared" si="35"/>
        <v>0</v>
      </c>
      <c r="S59" s="127">
        <f t="shared" si="35"/>
        <v>0</v>
      </c>
      <c r="T59" s="127">
        <f t="shared" si="35"/>
        <v>0</v>
      </c>
      <c r="U59" s="127">
        <f t="shared" si="35"/>
        <v>0</v>
      </c>
      <c r="V59" s="127">
        <f t="shared" si="35"/>
        <v>0</v>
      </c>
      <c r="W59" s="129">
        <f>SUM(W49:W58)</f>
        <v>0</v>
      </c>
      <c r="X59" s="78"/>
      <c r="Y59" s="118">
        <f>Y58</f>
        <v>0</v>
      </c>
      <c r="Z59" s="118">
        <f>Z58</f>
        <v>0</v>
      </c>
      <c r="AA59" s="118">
        <f>AA58</f>
        <v>0</v>
      </c>
      <c r="AB59" s="79">
        <f t="shared" si="3"/>
        <v>0</v>
      </c>
      <c r="AC59" s="118">
        <f>AC58</f>
        <v>0</v>
      </c>
      <c r="AD59" s="89"/>
      <c r="AE59" s="80">
        <f t="shared" si="11"/>
        <v>0</v>
      </c>
    </row>
    <row r="60" spans="1:31" s="2" customFormat="1" ht="21.75" customHeight="1">
      <c r="A60" s="130" t="s">
        <v>128</v>
      </c>
      <c r="B60" s="143" t="s">
        <v>129</v>
      </c>
      <c r="C60" s="144"/>
      <c r="D60" s="144"/>
      <c r="E60" s="144"/>
      <c r="F60" s="144"/>
      <c r="G60" s="144"/>
      <c r="H60" s="144"/>
      <c r="I60" s="144"/>
      <c r="J60" s="144"/>
      <c r="K60" s="144"/>
      <c r="L60" s="144"/>
      <c r="M60" s="144"/>
      <c r="N60" s="144"/>
      <c r="O60" s="144"/>
      <c r="P60" s="145"/>
      <c r="Q60" s="146"/>
      <c r="R60" s="146"/>
      <c r="S60" s="117"/>
      <c r="T60" s="117"/>
      <c r="U60" s="117"/>
      <c r="V60" s="117"/>
      <c r="W60" s="134"/>
      <c r="X60" s="78"/>
      <c r="Y60" s="118"/>
      <c r="Z60" s="118"/>
      <c r="AA60" s="118"/>
      <c r="AB60" s="79">
        <f t="shared" si="3"/>
        <v>0</v>
      </c>
      <c r="AC60" s="118"/>
      <c r="AD60" s="89"/>
      <c r="AE60" s="80">
        <f t="shared" si="11"/>
        <v>0</v>
      </c>
    </row>
    <row r="61" spans="1:31" ht="24" customHeight="1">
      <c r="A61" s="125"/>
      <c r="B61" s="81"/>
      <c r="C61" s="70"/>
      <c r="D61" s="70"/>
      <c r="E61" s="65"/>
      <c r="F61" s="62"/>
      <c r="G61" s="126"/>
      <c r="H61" s="62"/>
      <c r="I61" s="62"/>
      <c r="J61" s="76"/>
      <c r="K61" s="76"/>
      <c r="L61" s="76"/>
      <c r="M61" s="76"/>
      <c r="N61" s="76"/>
      <c r="O61" s="76"/>
      <c r="P61" s="76"/>
      <c r="Q61" s="76"/>
      <c r="R61" s="76"/>
      <c r="S61" s="76"/>
      <c r="T61" s="76"/>
      <c r="U61" s="76"/>
      <c r="V61" s="76"/>
      <c r="W61" s="147"/>
      <c r="X61" s="78"/>
      <c r="Y61" s="79"/>
      <c r="Z61" s="79"/>
      <c r="AA61" s="79"/>
      <c r="AB61" s="79">
        <f t="shared" si="3"/>
        <v>0</v>
      </c>
      <c r="AC61" s="79"/>
      <c r="AE61" s="80">
        <f t="shared" si="11"/>
        <v>0</v>
      </c>
    </row>
    <row r="62" spans="1:31" s="2" customFormat="1" ht="19.5" customHeight="1">
      <c r="A62" s="148" t="e">
        <f>A44+#REF!+#REF!</f>
        <v>#REF!</v>
      </c>
      <c r="B62" s="149" t="s">
        <v>130</v>
      </c>
      <c r="C62" s="111"/>
      <c r="D62" s="111"/>
      <c r="E62" s="150"/>
      <c r="F62" s="128">
        <f>F44+F56+F58+F61</f>
        <v>116.69999999999999</v>
      </c>
      <c r="G62" s="128"/>
      <c r="H62" s="128">
        <f t="shared" ref="H62:W62" si="36">H44+H56+H58+H61</f>
        <v>0.24</v>
      </c>
      <c r="I62" s="128">
        <f t="shared" si="36"/>
        <v>1.2</v>
      </c>
      <c r="J62" s="129">
        <f t="shared" si="36"/>
        <v>2.0499999999999998</v>
      </c>
      <c r="K62" s="151">
        <f t="shared" si="36"/>
        <v>39.227999999999987</v>
      </c>
      <c r="L62" s="128">
        <f t="shared" si="36"/>
        <v>4.7700000000000005</v>
      </c>
      <c r="M62" s="151">
        <f t="shared" si="36"/>
        <v>18.020500000000002</v>
      </c>
      <c r="N62" s="129">
        <f>N44+N56+N58+N61</f>
        <v>322678000</v>
      </c>
      <c r="O62" s="129">
        <f t="shared" si="36"/>
        <v>1954367.9999999998</v>
      </c>
      <c r="P62" s="129">
        <f t="shared" si="36"/>
        <v>2808000</v>
      </c>
      <c r="Q62" s="129">
        <f t="shared" si="36"/>
        <v>4797000</v>
      </c>
      <c r="R62" s="129">
        <f t="shared" si="36"/>
        <v>91793520</v>
      </c>
      <c r="S62" s="129">
        <f t="shared" si="36"/>
        <v>42167970</v>
      </c>
      <c r="T62" s="129">
        <f t="shared" si="36"/>
        <v>466198858</v>
      </c>
      <c r="U62" s="129">
        <f t="shared" si="36"/>
        <v>38808875</v>
      </c>
      <c r="V62" s="129">
        <f>V44+V56+V58+V61</f>
        <v>427389984</v>
      </c>
      <c r="W62" s="129">
        <f t="shared" si="36"/>
        <v>0</v>
      </c>
      <c r="X62" s="78"/>
      <c r="Y62" s="118">
        <f>ROUND(Y44+Y56+Y58,0)</f>
        <v>62833417</v>
      </c>
      <c r="Z62" s="118">
        <f t="shared" ref="Z62:AC62" si="37">ROUND(Z44+Z56+Z58,0)</f>
        <v>11088250</v>
      </c>
      <c r="AA62" s="118">
        <f t="shared" si="37"/>
        <v>3696083</v>
      </c>
      <c r="AB62" s="118">
        <f t="shared" si="37"/>
        <v>1848042</v>
      </c>
      <c r="AC62" s="118">
        <f t="shared" si="37"/>
        <v>7392167</v>
      </c>
      <c r="AD62" s="89"/>
      <c r="AE62" s="80">
        <f t="shared" si="11"/>
        <v>38808875</v>
      </c>
    </row>
    <row r="63" spans="1:31" ht="21.75" customHeight="1">
      <c r="A63" s="152"/>
      <c r="B63" s="153" t="s">
        <v>131</v>
      </c>
      <c r="C63" s="154" t="str">
        <f>[1]!vnd(V62)</f>
        <v>Bốn trăm hai mươi bảy triệu, ba trăm tám mươi chín nghìn, chín trăm tám mươi bốn đồng chẵn.</v>
      </c>
      <c r="D63" s="154"/>
      <c r="E63" s="152"/>
      <c r="F63" s="152"/>
      <c r="G63" s="152"/>
      <c r="H63" s="152"/>
      <c r="I63" s="152"/>
      <c r="J63" s="152"/>
      <c r="K63" s="152"/>
      <c r="L63" s="152"/>
      <c r="M63" s="152"/>
      <c r="N63" s="152"/>
      <c r="O63" s="152"/>
      <c r="P63" s="152"/>
      <c r="Q63" s="152"/>
      <c r="R63" s="152"/>
      <c r="S63" s="152"/>
      <c r="T63" s="152"/>
      <c r="U63" s="152"/>
      <c r="V63" s="155"/>
      <c r="W63" s="156"/>
      <c r="X63" s="78"/>
      <c r="Y63" s="157"/>
      <c r="Z63" s="157"/>
      <c r="AA63" s="157">
        <f>U62+Y62+Z62+AA62</f>
        <v>116426625</v>
      </c>
      <c r="AB63" s="79">
        <f>(N63+O63+P63+S63)*0.5%</f>
        <v>0</v>
      </c>
      <c r="AC63" s="80">
        <f>AC59+AC56</f>
        <v>992000</v>
      </c>
      <c r="AE63" s="80">
        <f t="shared" si="11"/>
        <v>0</v>
      </c>
    </row>
    <row r="64" spans="1:31" ht="6" customHeight="1">
      <c r="A64" s="11"/>
      <c r="B64" s="158"/>
      <c r="C64" s="158"/>
      <c r="D64" s="158"/>
      <c r="E64" s="158"/>
      <c r="F64" s="158"/>
      <c r="G64" s="158"/>
      <c r="H64" s="158"/>
      <c r="I64" s="158"/>
      <c r="J64" s="159"/>
      <c r="K64" s="159"/>
      <c r="L64" s="159"/>
      <c r="M64" s="159"/>
      <c r="N64" s="160"/>
      <c r="O64" s="160"/>
      <c r="P64" s="160"/>
      <c r="Q64" s="160"/>
      <c r="R64" s="160"/>
      <c r="S64" s="160"/>
      <c r="T64" s="161"/>
      <c r="U64" s="161"/>
      <c r="V64" s="161"/>
      <c r="Y64" s="157"/>
      <c r="Z64" s="162"/>
    </row>
    <row r="65" spans="1:31" ht="18.75" customHeight="1">
      <c r="A65" s="11"/>
      <c r="B65" s="163"/>
      <c r="C65" s="163"/>
      <c r="D65" s="163"/>
      <c r="E65" s="163"/>
      <c r="F65" s="164"/>
      <c r="G65" s="164"/>
      <c r="H65" s="163"/>
      <c r="I65" s="158"/>
      <c r="J65" s="165"/>
      <c r="K65" s="165"/>
      <c r="L65" s="165"/>
      <c r="M65" s="165"/>
      <c r="N65" s="166"/>
      <c r="O65" s="166"/>
      <c r="P65" s="166"/>
      <c r="Q65" s="166"/>
      <c r="R65" s="167" t="s">
        <v>132</v>
      </c>
      <c r="S65" s="167"/>
      <c r="T65" s="167"/>
      <c r="U65" s="167"/>
      <c r="V65" s="167"/>
      <c r="W65" s="168"/>
      <c r="X65" s="168"/>
      <c r="Y65" s="169" t="s">
        <v>133</v>
      </c>
      <c r="Z65" s="170"/>
      <c r="AA65" s="171" t="s">
        <v>134</v>
      </c>
      <c r="AB65" s="172"/>
      <c r="AC65" s="173"/>
      <c r="AD65" s="8">
        <f>F43*H43</f>
        <v>0.83519999999999994</v>
      </c>
    </row>
    <row r="66" spans="1:31" ht="21" customHeight="1">
      <c r="A66" s="11"/>
      <c r="B66" s="174" t="s">
        <v>135</v>
      </c>
      <c r="C66" s="174"/>
      <c r="D66" s="163"/>
      <c r="E66" s="158"/>
      <c r="F66" s="158"/>
      <c r="G66" s="158"/>
      <c r="H66" s="158"/>
      <c r="I66" s="175"/>
      <c r="J66" s="158"/>
      <c r="K66" s="158"/>
      <c r="L66" s="158"/>
      <c r="M66" s="158"/>
      <c r="N66" s="176"/>
      <c r="O66" s="159"/>
      <c r="P66" s="159"/>
      <c r="Q66" s="159"/>
      <c r="R66" s="177" t="s">
        <v>136</v>
      </c>
      <c r="S66" s="177"/>
      <c r="T66" s="177"/>
      <c r="U66" s="177"/>
      <c r="V66" s="177"/>
      <c r="Y66" s="79">
        <v>6001</v>
      </c>
      <c r="Z66" s="178">
        <f>N44-AC66</f>
        <v>244404810</v>
      </c>
      <c r="AA66" s="79">
        <v>6001</v>
      </c>
      <c r="AB66" s="79"/>
      <c r="AC66" s="179">
        <f>(F44)*2340000*10.5%</f>
        <v>28673190</v>
      </c>
      <c r="AD66" s="8">
        <f>AC66+AC67+AC71+AC72</f>
        <v>38514035.490000002</v>
      </c>
      <c r="AE66" s="80">
        <f>AC66+AC71+AC72+AC67</f>
        <v>38514035.490000002</v>
      </c>
    </row>
    <row r="67" spans="1:31" ht="22.5" customHeight="1">
      <c r="A67" s="11"/>
      <c r="B67" s="180"/>
      <c r="C67" s="180"/>
      <c r="D67" s="180"/>
      <c r="E67" s="158"/>
      <c r="F67" s="158"/>
      <c r="G67" s="158"/>
      <c r="H67" s="158"/>
      <c r="I67" s="175"/>
      <c r="J67" s="159"/>
      <c r="K67" s="159"/>
      <c r="L67" s="159"/>
      <c r="M67" s="159"/>
      <c r="N67" s="159"/>
      <c r="O67" s="159"/>
      <c r="P67" s="159"/>
      <c r="Q67" s="159"/>
      <c r="R67" s="4"/>
      <c r="S67" s="4"/>
      <c r="T67" s="4"/>
      <c r="U67" s="4"/>
      <c r="V67" s="4"/>
      <c r="Y67" s="79">
        <v>6051</v>
      </c>
      <c r="Z67" s="178">
        <f>(N56+N61+P56+Q56+Q61)-AC67</f>
        <v>45211000</v>
      </c>
      <c r="AA67" s="79">
        <v>6051</v>
      </c>
      <c r="AB67" s="79"/>
      <c r="AC67" s="179">
        <f>(N56+N61)*10.5%</f>
        <v>5208000</v>
      </c>
    </row>
    <row r="68" spans="1:31" ht="22.5" customHeight="1">
      <c r="A68" s="11"/>
      <c r="B68" s="163"/>
      <c r="C68" s="163"/>
      <c r="D68" s="163"/>
      <c r="E68" s="158"/>
      <c r="F68" s="158"/>
      <c r="G68" s="158"/>
      <c r="H68" s="158"/>
      <c r="I68" s="175"/>
      <c r="J68" s="159"/>
      <c r="K68" s="159"/>
      <c r="L68" s="159"/>
      <c r="M68" s="159"/>
      <c r="N68" s="159"/>
      <c r="O68" s="159"/>
      <c r="P68" s="159"/>
      <c r="Q68" s="159"/>
      <c r="R68" s="4"/>
      <c r="S68" s="4"/>
      <c r="T68" s="4"/>
      <c r="U68" s="4"/>
      <c r="V68" s="4"/>
      <c r="Y68" s="79">
        <v>6101</v>
      </c>
      <c r="Z68" s="79">
        <f>P44-(P44*10.5%)</f>
        <v>2513160</v>
      </c>
      <c r="AA68" s="79">
        <v>6301</v>
      </c>
      <c r="AB68" s="79"/>
      <c r="AC68" s="179">
        <f>(N62+O62+P62+S62)*17%</f>
        <v>62833417.460000001</v>
      </c>
    </row>
    <row r="69" spans="1:31" ht="22.5" customHeight="1">
      <c r="A69" s="11"/>
      <c r="E69" s="158"/>
      <c r="F69" s="158"/>
      <c r="G69" s="158"/>
      <c r="H69" s="158"/>
      <c r="I69" s="175"/>
      <c r="J69" s="159"/>
      <c r="K69" s="159"/>
      <c r="L69" s="159"/>
      <c r="M69" s="159"/>
      <c r="N69" s="159"/>
      <c r="O69" s="159"/>
      <c r="P69" s="159"/>
      <c r="Q69" s="159"/>
      <c r="R69" s="4"/>
      <c r="S69" s="4"/>
      <c r="T69" s="4"/>
      <c r="U69" s="4"/>
      <c r="V69" s="4"/>
      <c r="Y69" s="181">
        <v>6112</v>
      </c>
      <c r="Z69" s="79">
        <f>R62</f>
        <v>91793520</v>
      </c>
      <c r="AA69" s="79">
        <v>6302</v>
      </c>
      <c r="AB69" s="79"/>
      <c r="AC69" s="179">
        <f>(N62+O62+P62+S62)*3%</f>
        <v>11088250.139999999</v>
      </c>
    </row>
    <row r="70" spans="1:31" ht="24.75" customHeight="1">
      <c r="A70" s="11"/>
      <c r="B70" s="174" t="s">
        <v>137</v>
      </c>
      <c r="C70" s="174"/>
      <c r="D70" s="163"/>
      <c r="E70" s="163"/>
      <c r="F70" s="163"/>
      <c r="G70" s="163"/>
      <c r="H70" s="163"/>
      <c r="I70" s="180"/>
      <c r="J70" s="182"/>
      <c r="K70" s="182"/>
      <c r="L70" s="182"/>
      <c r="M70" s="182"/>
      <c r="N70" s="182"/>
      <c r="O70" s="182"/>
      <c r="P70" s="182"/>
      <c r="Q70" s="158"/>
      <c r="R70" s="13" t="s">
        <v>27</v>
      </c>
      <c r="S70" s="13"/>
      <c r="T70" s="13"/>
      <c r="U70" s="13"/>
      <c r="V70" s="13"/>
      <c r="Y70" s="181">
        <v>6113</v>
      </c>
      <c r="Z70" s="79">
        <f>Q44</f>
        <v>3978000</v>
      </c>
      <c r="AA70" s="181">
        <v>6304</v>
      </c>
      <c r="AB70" s="181"/>
      <c r="AC70" s="179">
        <f>(N62+O62+P62+S62)*1%</f>
        <v>3696083.38</v>
      </c>
    </row>
    <row r="71" spans="1:31" ht="15.75" customHeight="1">
      <c r="E71" s="158"/>
      <c r="F71" s="158"/>
      <c r="G71" s="158"/>
      <c r="H71" s="158"/>
      <c r="I71" s="158"/>
      <c r="J71" s="158"/>
      <c r="K71" s="158"/>
      <c r="L71" s="158"/>
      <c r="M71" s="158"/>
      <c r="N71" s="158"/>
      <c r="O71" s="158"/>
      <c r="P71" s="158"/>
      <c r="Q71" s="158"/>
      <c r="T71" s="14"/>
      <c r="Y71" s="181">
        <v>6115</v>
      </c>
      <c r="Z71" s="79">
        <f>S62-AC71+2</f>
        <v>37740335.149999999</v>
      </c>
      <c r="AA71" s="181">
        <v>6115</v>
      </c>
      <c r="AB71" s="181"/>
      <c r="AC71" s="183">
        <f>M44*2340000*10.5%</f>
        <v>4427636.8500000006</v>
      </c>
      <c r="AD71" s="8" t="s">
        <v>138</v>
      </c>
    </row>
    <row r="72" spans="1:31" ht="21" customHeight="1">
      <c r="E72" s="158"/>
      <c r="F72" s="158"/>
      <c r="G72" s="158"/>
      <c r="H72" s="158"/>
      <c r="I72" s="158"/>
      <c r="J72" s="158"/>
      <c r="K72" s="158"/>
      <c r="L72" s="158"/>
      <c r="M72" s="158"/>
      <c r="N72" s="158"/>
      <c r="O72" s="158"/>
      <c r="P72" s="158"/>
      <c r="Q72" s="158"/>
      <c r="Y72" s="181">
        <v>6115</v>
      </c>
      <c r="Z72" s="79">
        <f>O62-AC72-1</f>
        <v>1749158.3599999999</v>
      </c>
      <c r="AA72" s="181">
        <v>6115</v>
      </c>
      <c r="AB72" s="181"/>
      <c r="AC72" s="183">
        <f>O43*10.5%</f>
        <v>205208.63999999996</v>
      </c>
      <c r="AD72" s="8" t="s">
        <v>139</v>
      </c>
    </row>
    <row r="73" spans="1:31" ht="33" customHeight="1">
      <c r="E73" s="158"/>
      <c r="F73" s="158"/>
      <c r="G73" s="158"/>
      <c r="H73" s="158"/>
      <c r="I73" s="158"/>
      <c r="J73" s="158"/>
      <c r="K73" s="158"/>
      <c r="L73" s="158"/>
      <c r="M73" s="158"/>
      <c r="N73" s="158"/>
      <c r="O73" s="158"/>
      <c r="P73" s="158"/>
      <c r="Q73" s="158"/>
      <c r="T73" s="14"/>
      <c r="Y73" s="79"/>
      <c r="Z73" s="178"/>
      <c r="AA73" s="184">
        <v>6349</v>
      </c>
      <c r="AB73" s="184"/>
      <c r="AC73" s="179">
        <f>(N62+O62+P62+S62)*0.5%</f>
        <v>1848041.69</v>
      </c>
      <c r="AD73" s="8" t="s">
        <v>140</v>
      </c>
    </row>
    <row r="74" spans="1:31" ht="18" customHeight="1">
      <c r="E74" s="158"/>
      <c r="F74" s="158"/>
      <c r="G74" s="158"/>
      <c r="H74" s="158"/>
      <c r="I74" s="158"/>
      <c r="J74" s="158"/>
      <c r="K74" s="158"/>
      <c r="L74" s="158"/>
      <c r="M74" s="158"/>
      <c r="N74" s="158"/>
      <c r="O74" s="158"/>
      <c r="P74" s="158"/>
      <c r="Q74" s="158"/>
      <c r="Y74" s="79"/>
      <c r="Z74" s="79"/>
      <c r="AA74" s="185">
        <v>6001</v>
      </c>
      <c r="AB74" s="185"/>
      <c r="AC74" s="185">
        <f>P44*10.5%</f>
        <v>294840</v>
      </c>
      <c r="AD74" s="8" t="s">
        <v>141</v>
      </c>
    </row>
    <row r="75" spans="1:31" ht="26.25" customHeight="1">
      <c r="E75" s="158"/>
      <c r="F75" s="158"/>
      <c r="G75" s="158"/>
      <c r="H75" s="158"/>
      <c r="I75" s="158"/>
      <c r="J75" s="158"/>
      <c r="K75" s="158"/>
      <c r="L75" s="158"/>
      <c r="M75" s="158"/>
      <c r="N75" s="158"/>
      <c r="O75" s="158"/>
      <c r="P75" s="158"/>
      <c r="Q75" s="158"/>
      <c r="T75" s="14"/>
      <c r="Y75" s="79"/>
      <c r="Z75" s="79"/>
      <c r="AA75" s="186"/>
      <c r="AB75" s="186"/>
      <c r="AC75" s="187"/>
    </row>
    <row r="76" spans="1:31" ht="24" customHeight="1">
      <c r="E76" s="158"/>
      <c r="F76" s="158"/>
      <c r="G76" s="158"/>
      <c r="H76" s="158"/>
      <c r="I76" s="158"/>
      <c r="J76" s="158"/>
      <c r="K76" s="158"/>
      <c r="L76" s="158"/>
      <c r="M76" s="158"/>
      <c r="N76" s="158"/>
      <c r="O76" s="158"/>
      <c r="P76" s="158"/>
      <c r="Q76" s="158"/>
      <c r="T76" s="14"/>
      <c r="V76" s="188"/>
      <c r="Y76" s="79"/>
      <c r="Z76" s="189">
        <f>SUM(Z66:Z75)</f>
        <v>427389983.50999999</v>
      </c>
      <c r="AA76" s="189"/>
      <c r="AB76" s="189">
        <f t="shared" ref="AB76" si="38">SUM(AB66:AB75)</f>
        <v>0</v>
      </c>
      <c r="AC76" s="189">
        <f>SUM(AC66:AC75)</f>
        <v>118274668.16</v>
      </c>
    </row>
    <row r="77" spans="1:31" ht="18.75" hidden="1" customHeight="1">
      <c r="E77" s="158"/>
      <c r="F77" s="158"/>
      <c r="G77" s="158"/>
      <c r="H77" s="158"/>
      <c r="I77" s="158"/>
      <c r="J77" s="158"/>
      <c r="K77" s="158"/>
      <c r="L77" s="158"/>
      <c r="M77" s="158"/>
      <c r="N77" s="158"/>
      <c r="O77" s="158"/>
      <c r="P77" s="158"/>
      <c r="Q77" s="158"/>
      <c r="T77" s="14"/>
      <c r="U77" s="190" t="s">
        <v>142</v>
      </c>
      <c r="V77" s="190"/>
      <c r="Y77" s="169" t="s">
        <v>133</v>
      </c>
      <c r="Z77" s="170"/>
      <c r="AA77" s="157"/>
      <c r="AB77" s="157"/>
      <c r="AC77" s="191">
        <f>SUM(AC66:AC76)</f>
        <v>236549336.31999999</v>
      </c>
    </row>
    <row r="78" spans="1:31" ht="18.75" hidden="1" customHeight="1">
      <c r="E78" s="158"/>
      <c r="F78" s="158"/>
      <c r="G78" s="158"/>
      <c r="H78" s="158"/>
      <c r="I78" s="158"/>
      <c r="J78" s="158"/>
      <c r="K78" s="158"/>
      <c r="L78" s="158"/>
      <c r="M78" s="158"/>
      <c r="N78" s="158"/>
      <c r="O78" s="158"/>
      <c r="P78" s="158"/>
      <c r="Q78" s="158"/>
      <c r="S78" s="80"/>
      <c r="T78" s="14"/>
      <c r="U78" s="192">
        <v>6001</v>
      </c>
      <c r="V78" s="192">
        <f>AC66</f>
        <v>28673190</v>
      </c>
      <c r="Y78" s="79">
        <v>6001</v>
      </c>
      <c r="Z78" s="79">
        <f>N44-V78</f>
        <v>244404810</v>
      </c>
    </row>
    <row r="79" spans="1:31" ht="18.75" hidden="1" customHeight="1">
      <c r="E79" s="158"/>
      <c r="F79" s="158"/>
      <c r="G79" s="158"/>
      <c r="H79" s="158"/>
      <c r="I79" s="158"/>
      <c r="J79" s="158"/>
      <c r="K79" s="158"/>
      <c r="L79" s="158"/>
      <c r="M79" s="158"/>
      <c r="N79" s="158"/>
      <c r="O79" s="158"/>
      <c r="P79" s="158"/>
      <c r="Q79" s="158"/>
      <c r="S79" s="80"/>
      <c r="T79" s="14"/>
      <c r="U79" s="192">
        <v>6051</v>
      </c>
      <c r="V79" s="192">
        <f>AC67</f>
        <v>5208000</v>
      </c>
      <c r="Y79" s="79">
        <v>6051</v>
      </c>
      <c r="Z79" s="79">
        <f>N56+N59+P56+Q56+Q59-V79</f>
        <v>45211000</v>
      </c>
    </row>
    <row r="80" spans="1:31" ht="18.75" hidden="1" customHeight="1">
      <c r="E80" s="158"/>
      <c r="F80" s="158"/>
      <c r="G80" s="158"/>
      <c r="H80" s="158"/>
      <c r="I80" s="158"/>
      <c r="J80" s="158"/>
      <c r="K80" s="158"/>
      <c r="L80" s="158"/>
      <c r="M80" s="158"/>
      <c r="N80" s="158"/>
      <c r="O80" s="158"/>
      <c r="P80" s="158"/>
      <c r="Q80" s="158"/>
      <c r="S80" s="80"/>
      <c r="T80" s="14"/>
      <c r="U80" s="192">
        <v>6101</v>
      </c>
      <c r="V80" s="192">
        <f>AC76</f>
        <v>118274668.16</v>
      </c>
      <c r="Y80" s="79">
        <v>6101</v>
      </c>
      <c r="Z80" s="79">
        <f>P44-V80</f>
        <v>-115466668.16</v>
      </c>
    </row>
    <row r="81" spans="1:29" ht="18.75" hidden="1" customHeight="1">
      <c r="E81" s="158"/>
      <c r="F81" s="158"/>
      <c r="G81" s="158"/>
      <c r="H81" s="158"/>
      <c r="I81" s="158"/>
      <c r="J81" s="158"/>
      <c r="K81" s="158"/>
      <c r="L81" s="158"/>
      <c r="M81" s="158"/>
      <c r="N81" s="158"/>
      <c r="O81" s="158"/>
      <c r="P81" s="158"/>
      <c r="Q81" s="158"/>
      <c r="S81" s="80"/>
      <c r="T81" s="14"/>
      <c r="U81" s="192">
        <v>6115</v>
      </c>
      <c r="V81" s="192">
        <f>AC71</f>
        <v>4427636.8500000006</v>
      </c>
      <c r="Y81" s="181">
        <v>6112</v>
      </c>
      <c r="Z81" s="79">
        <f>R44</f>
        <v>91793520</v>
      </c>
      <c r="AC81" s="188">
        <f>Z76-V62</f>
        <v>-0.49000000953674316</v>
      </c>
    </row>
    <row r="82" spans="1:29" ht="18.75" hidden="1" customHeight="1">
      <c r="E82" s="158"/>
      <c r="F82" s="158"/>
      <c r="G82" s="158"/>
      <c r="H82" s="158"/>
      <c r="I82" s="158"/>
      <c r="J82" s="158"/>
      <c r="K82" s="158"/>
      <c r="L82" s="158"/>
      <c r="M82" s="158"/>
      <c r="N82" s="158"/>
      <c r="O82" s="158"/>
      <c r="P82" s="158"/>
      <c r="Q82" s="158"/>
      <c r="S82" s="80"/>
      <c r="T82" s="14"/>
      <c r="U82" s="192">
        <v>6115</v>
      </c>
      <c r="V82" s="192">
        <f>AC72</f>
        <v>205208.63999999996</v>
      </c>
      <c r="Y82" s="181"/>
      <c r="Z82" s="79"/>
      <c r="AC82" s="188"/>
    </row>
    <row r="83" spans="1:29" ht="18.75" hidden="1" customHeight="1">
      <c r="E83" s="158"/>
      <c r="F83" s="158"/>
      <c r="G83" s="158"/>
      <c r="H83" s="158"/>
      <c r="I83" s="158"/>
      <c r="J83" s="158"/>
      <c r="K83" s="158"/>
      <c r="L83" s="158"/>
      <c r="M83" s="158"/>
      <c r="N83" s="158"/>
      <c r="O83" s="158"/>
      <c r="P83" s="158"/>
      <c r="Q83" s="158"/>
      <c r="S83" s="80"/>
      <c r="T83" s="14"/>
      <c r="U83" s="193">
        <v>6301</v>
      </c>
      <c r="V83" s="192">
        <f>AC68</f>
        <v>62833417.460000001</v>
      </c>
      <c r="Y83" s="181">
        <v>6113</v>
      </c>
      <c r="Z83" s="79">
        <f>Q44</f>
        <v>3978000</v>
      </c>
    </row>
    <row r="84" spans="1:29" ht="18.75" hidden="1" customHeight="1">
      <c r="E84" s="158"/>
      <c r="F84" s="158"/>
      <c r="G84" s="158"/>
      <c r="H84" s="158"/>
      <c r="I84" s="158"/>
      <c r="J84" s="158"/>
      <c r="K84" s="158"/>
      <c r="L84" s="158"/>
      <c r="M84" s="158"/>
      <c r="N84" s="158"/>
      <c r="O84" s="158"/>
      <c r="P84" s="158"/>
      <c r="Q84" s="158"/>
      <c r="S84" s="80"/>
      <c r="T84" s="14"/>
      <c r="U84" s="193">
        <v>6302</v>
      </c>
      <c r="V84" s="192">
        <f>AC69</f>
        <v>11088250.139999999</v>
      </c>
      <c r="Y84" s="181">
        <v>6115</v>
      </c>
      <c r="Z84" s="79">
        <f>S44-V81</f>
        <v>37740333.149999999</v>
      </c>
    </row>
    <row r="85" spans="1:29" ht="18.75" hidden="1" customHeight="1">
      <c r="B85" s="163"/>
      <c r="C85" s="163"/>
      <c r="D85" s="163"/>
      <c r="E85" s="158"/>
      <c r="F85" s="158"/>
      <c r="G85" s="158"/>
      <c r="H85" s="158"/>
      <c r="I85" s="158"/>
      <c r="J85" s="158"/>
      <c r="K85" s="158"/>
      <c r="L85" s="158"/>
      <c r="M85" s="158"/>
      <c r="N85" s="158"/>
      <c r="O85" s="158"/>
      <c r="P85" s="158"/>
      <c r="Q85" s="158"/>
      <c r="S85" s="80"/>
      <c r="T85" s="14"/>
      <c r="U85" s="193">
        <v>6304</v>
      </c>
      <c r="V85" s="192">
        <f>AC70</f>
        <v>3696083.38</v>
      </c>
      <c r="Y85" s="181">
        <v>6115</v>
      </c>
      <c r="Z85" s="178">
        <f>Z72</f>
        <v>1749158.3599999999</v>
      </c>
    </row>
    <row r="86" spans="1:29" ht="24" hidden="1" customHeight="1">
      <c r="B86" s="163"/>
      <c r="C86" s="163"/>
      <c r="D86" s="163"/>
      <c r="E86" s="158"/>
      <c r="F86" s="158"/>
      <c r="G86" s="158"/>
      <c r="H86" s="158"/>
      <c r="I86" s="158"/>
      <c r="J86" s="158"/>
      <c r="K86" s="158"/>
      <c r="L86" s="158"/>
      <c r="M86" s="158"/>
      <c r="N86" s="158"/>
      <c r="O86" s="158"/>
      <c r="P86" s="158"/>
      <c r="Q86" s="158"/>
      <c r="S86" s="80"/>
      <c r="T86" s="14"/>
      <c r="U86" s="194" t="s">
        <v>143</v>
      </c>
      <c r="V86" s="195">
        <f>SUM(V78:V85)</f>
        <v>234406454.62999997</v>
      </c>
      <c r="Y86" s="79"/>
      <c r="Z86" s="178">
        <f>SUM(Z78:Z85)</f>
        <v>309410153.35000002</v>
      </c>
      <c r="AA86" s="157"/>
      <c r="AB86" s="157"/>
    </row>
    <row r="87" spans="1:29" ht="18.75" hidden="1" customHeight="1">
      <c r="B87" s="163"/>
      <c r="C87" s="163"/>
      <c r="D87" s="163"/>
      <c r="E87" s="158"/>
      <c r="F87" s="158"/>
      <c r="G87" s="158"/>
      <c r="H87" s="158"/>
      <c r="I87" s="158"/>
      <c r="J87" s="158"/>
      <c r="K87" s="158"/>
      <c r="L87" s="158"/>
      <c r="M87" s="158"/>
      <c r="N87" s="158"/>
      <c r="O87" s="158"/>
      <c r="P87" s="158"/>
      <c r="Q87" s="158"/>
      <c r="T87" s="14"/>
      <c r="U87" s="163"/>
      <c r="V87" s="163"/>
      <c r="Y87" s="181"/>
      <c r="Z87" s="79"/>
      <c r="AA87" s="79"/>
      <c r="AB87" s="79"/>
      <c r="AC87" s="79"/>
    </row>
    <row r="88" spans="1:29" ht="18.75" hidden="1" customHeight="1">
      <c r="A88" s="196"/>
      <c r="B88" s="197"/>
      <c r="C88" s="163"/>
      <c r="D88" s="163"/>
      <c r="E88" s="158"/>
      <c r="F88" s="158"/>
      <c r="G88" s="158"/>
      <c r="H88" s="158"/>
      <c r="I88" s="158"/>
      <c r="J88" s="158"/>
      <c r="K88" s="158"/>
      <c r="L88" s="158"/>
      <c r="M88" s="158"/>
      <c r="N88" s="158"/>
      <c r="O88" s="158"/>
      <c r="P88" s="158"/>
      <c r="Q88" s="158"/>
      <c r="T88" s="14"/>
      <c r="U88" s="198" t="s">
        <v>144</v>
      </c>
      <c r="V88" s="198"/>
      <c r="Y88" s="181"/>
      <c r="Z88" s="79">
        <f>V62-Z86</f>
        <v>117979830.64999998</v>
      </c>
      <c r="AA88" s="181"/>
      <c r="AB88" s="181"/>
      <c r="AC88" s="79"/>
    </row>
    <row r="89" spans="1:29" ht="18.75" hidden="1" customHeight="1">
      <c r="A89" s="196"/>
      <c r="B89" s="197"/>
      <c r="C89" s="163"/>
      <c r="D89" s="163"/>
      <c r="E89" s="158"/>
      <c r="F89" s="158"/>
      <c r="G89" s="158"/>
      <c r="H89" s="158"/>
      <c r="I89" s="158"/>
      <c r="J89" s="158"/>
      <c r="K89" s="158"/>
      <c r="L89" s="158"/>
      <c r="M89" s="158"/>
      <c r="N89" s="158"/>
      <c r="O89" s="158"/>
      <c r="P89" s="158"/>
      <c r="Q89" s="158"/>
      <c r="T89" s="14"/>
      <c r="U89" s="192">
        <v>6303</v>
      </c>
      <c r="V89" s="192" t="e">
        <f>#REF!</f>
        <v>#REF!</v>
      </c>
      <c r="Y89" s="181"/>
      <c r="Z89" s="79"/>
      <c r="AA89" s="79" t="e">
        <f>Z76+V86+V90+1600000</f>
        <v>#REF!</v>
      </c>
      <c r="AB89" s="79"/>
      <c r="AC89" s="79"/>
    </row>
    <row r="90" spans="1:29" ht="27.75" hidden="1" customHeight="1">
      <c r="A90" s="196"/>
      <c r="B90" s="197"/>
      <c r="C90" s="163"/>
      <c r="D90" s="163"/>
      <c r="E90" s="158"/>
      <c r="F90" s="158"/>
      <c r="G90" s="158"/>
      <c r="H90" s="158"/>
      <c r="I90" s="158"/>
      <c r="J90" s="158"/>
      <c r="K90" s="158"/>
      <c r="L90" s="158"/>
      <c r="M90" s="158"/>
      <c r="N90" s="158"/>
      <c r="O90" s="158"/>
      <c r="P90" s="158"/>
      <c r="Q90" s="158"/>
      <c r="R90" s="14"/>
      <c r="S90" s="14"/>
      <c r="T90" s="14"/>
      <c r="U90" s="194" t="s">
        <v>143</v>
      </c>
      <c r="V90" s="195" t="e">
        <f>V89</f>
        <v>#REF!</v>
      </c>
      <c r="Y90" s="79" t="s">
        <v>145</v>
      </c>
      <c r="Z90" s="79"/>
      <c r="AA90" s="79"/>
      <c r="AB90" s="79"/>
      <c r="AC90" s="79"/>
    </row>
    <row r="91" spans="1:29" ht="18.75" hidden="1" customHeight="1">
      <c r="A91" s="196"/>
      <c r="B91" s="197"/>
      <c r="C91" s="163"/>
      <c r="D91" s="163"/>
      <c r="E91" s="158"/>
      <c r="F91" s="158"/>
      <c r="G91" s="158"/>
      <c r="H91" s="158"/>
      <c r="I91" s="158"/>
      <c r="J91" s="158"/>
      <c r="K91" s="158"/>
      <c r="L91" s="158"/>
      <c r="M91" s="158"/>
      <c r="N91" s="158"/>
      <c r="O91" s="158"/>
      <c r="P91" s="158"/>
      <c r="Q91" s="158"/>
      <c r="R91" s="14"/>
      <c r="S91" s="14"/>
      <c r="T91" s="14"/>
      <c r="U91" s="14"/>
      <c r="V91" s="14"/>
      <c r="Y91" s="169" t="s">
        <v>133</v>
      </c>
      <c r="Z91" s="170"/>
      <c r="AA91" s="171" t="s">
        <v>134</v>
      </c>
      <c r="AB91" s="172"/>
      <c r="AC91" s="173"/>
    </row>
    <row r="92" spans="1:29" ht="22.5" hidden="1" customHeight="1">
      <c r="A92" s="196"/>
      <c r="B92" s="197"/>
      <c r="C92" s="163"/>
      <c r="D92" s="163"/>
      <c r="E92" s="158"/>
      <c r="F92" s="158"/>
      <c r="G92" s="158"/>
      <c r="H92" s="158"/>
      <c r="I92" s="158"/>
      <c r="J92" s="158"/>
      <c r="K92" s="158"/>
      <c r="L92" s="158"/>
      <c r="M92" s="158"/>
      <c r="N92" s="158"/>
      <c r="O92" s="158"/>
      <c r="P92" s="158"/>
      <c r="Q92" s="158"/>
      <c r="R92" s="14"/>
      <c r="S92" s="14"/>
      <c r="T92" s="14"/>
      <c r="U92" s="14"/>
      <c r="V92" s="14"/>
      <c r="W92" s="199"/>
      <c r="X92" s="199"/>
      <c r="Y92" s="79">
        <v>6001</v>
      </c>
      <c r="Z92" s="79"/>
      <c r="AA92" s="79">
        <v>6001</v>
      </c>
      <c r="AB92" s="79"/>
      <c r="AC92" s="183"/>
    </row>
    <row r="93" spans="1:29" ht="22.5" hidden="1" customHeight="1">
      <c r="A93" s="196"/>
      <c r="B93" s="197"/>
      <c r="C93" s="163"/>
      <c r="D93" s="163"/>
      <c r="E93" s="158"/>
      <c r="F93" s="158"/>
      <c r="G93" s="158"/>
      <c r="H93" s="158"/>
      <c r="I93" s="158"/>
      <c r="J93" s="158"/>
      <c r="K93" s="158"/>
      <c r="L93" s="158"/>
      <c r="M93" s="158"/>
      <c r="N93" s="158"/>
      <c r="O93" s="158"/>
      <c r="P93" s="158"/>
      <c r="Q93" s="158"/>
      <c r="R93" s="14"/>
      <c r="S93" s="14"/>
      <c r="T93" s="14"/>
      <c r="U93" s="14"/>
      <c r="V93" s="14"/>
      <c r="W93" s="199"/>
      <c r="X93" s="199"/>
      <c r="Y93" s="79">
        <v>6051</v>
      </c>
      <c r="Z93" s="79"/>
      <c r="AA93" s="79">
        <v>6051</v>
      </c>
      <c r="AB93" s="79"/>
      <c r="AC93" s="183"/>
    </row>
    <row r="94" spans="1:29" ht="22.5" hidden="1" customHeight="1">
      <c r="A94" s="196"/>
      <c r="B94" s="197"/>
      <c r="C94" s="163"/>
      <c r="D94" s="163"/>
      <c r="E94" s="158"/>
      <c r="F94" s="158"/>
      <c r="G94" s="158"/>
      <c r="H94" s="158"/>
      <c r="I94" s="158"/>
      <c r="J94" s="158"/>
      <c r="K94" s="158"/>
      <c r="L94" s="158"/>
      <c r="M94" s="158"/>
      <c r="N94" s="158"/>
      <c r="O94" s="158"/>
      <c r="P94" s="158"/>
      <c r="Q94" s="158"/>
      <c r="R94" s="14"/>
      <c r="S94" s="14"/>
      <c r="T94" s="14"/>
      <c r="U94" s="14"/>
      <c r="V94" s="14"/>
      <c r="Y94" s="79">
        <v>6099</v>
      </c>
      <c r="Z94" s="79"/>
      <c r="AA94" s="79">
        <v>6099</v>
      </c>
      <c r="AB94" s="79"/>
      <c r="AC94" s="183"/>
    </row>
    <row r="95" spans="1:29" ht="22.5" hidden="1" customHeight="1">
      <c r="A95" s="196"/>
      <c r="B95" s="197"/>
      <c r="C95" s="163"/>
      <c r="D95" s="163"/>
      <c r="E95" s="158"/>
      <c r="F95" s="158"/>
      <c r="G95" s="158"/>
      <c r="H95" s="158"/>
      <c r="I95" s="158"/>
      <c r="J95" s="158"/>
      <c r="K95" s="158"/>
      <c r="L95" s="158"/>
      <c r="M95" s="158"/>
      <c r="N95" s="158"/>
      <c r="O95" s="158"/>
      <c r="P95" s="158"/>
      <c r="Q95" s="158"/>
      <c r="R95" s="14"/>
      <c r="S95" s="14"/>
      <c r="T95" s="14"/>
      <c r="U95" s="14"/>
      <c r="V95" s="14"/>
      <c r="W95" s="199"/>
      <c r="X95" s="199"/>
      <c r="Y95" s="79">
        <v>6101</v>
      </c>
      <c r="Z95" s="79"/>
      <c r="AA95" s="79">
        <v>6101</v>
      </c>
      <c r="AB95" s="79"/>
      <c r="AC95" s="183"/>
    </row>
    <row r="96" spans="1:29" ht="22.5" hidden="1" customHeight="1">
      <c r="A96" s="196"/>
      <c r="B96" s="197"/>
      <c r="C96" s="163"/>
      <c r="D96" s="163"/>
      <c r="E96" s="158"/>
      <c r="F96" s="158"/>
      <c r="G96" s="158"/>
      <c r="H96" s="158"/>
      <c r="I96" s="158"/>
      <c r="J96" s="158"/>
      <c r="K96" s="158"/>
      <c r="L96" s="158"/>
      <c r="M96" s="158"/>
      <c r="N96" s="158"/>
      <c r="O96" s="158"/>
      <c r="P96" s="158"/>
      <c r="Q96" s="158"/>
      <c r="R96" s="14"/>
      <c r="S96" s="14"/>
      <c r="T96" s="14"/>
      <c r="U96" s="14"/>
      <c r="V96" s="14"/>
      <c r="W96" s="199"/>
      <c r="X96" s="199"/>
      <c r="Y96" s="79"/>
      <c r="Z96" s="79"/>
      <c r="AA96" s="79"/>
      <c r="AB96" s="79"/>
      <c r="AC96" s="183"/>
    </row>
    <row r="97" spans="1:29" ht="22.5" hidden="1" customHeight="1">
      <c r="A97" s="196"/>
      <c r="B97" s="197"/>
      <c r="C97" s="163"/>
      <c r="D97" s="163"/>
      <c r="E97" s="158"/>
      <c r="F97" s="158"/>
      <c r="G97" s="158"/>
      <c r="H97" s="158"/>
      <c r="I97" s="158"/>
      <c r="J97" s="158"/>
      <c r="K97" s="158"/>
      <c r="L97" s="158"/>
      <c r="M97" s="158"/>
      <c r="N97" s="158"/>
      <c r="O97" s="158"/>
      <c r="P97" s="158"/>
      <c r="Q97" s="158"/>
      <c r="R97" s="14"/>
      <c r="S97" s="14"/>
      <c r="T97" s="14"/>
      <c r="U97" s="14"/>
      <c r="V97" s="14"/>
      <c r="W97" s="199"/>
      <c r="X97" s="199"/>
      <c r="Y97" s="79"/>
      <c r="Z97" s="79"/>
      <c r="AA97" s="79"/>
      <c r="AB97" s="79"/>
      <c r="AC97" s="183"/>
    </row>
    <row r="98" spans="1:29" ht="22.5" hidden="1" customHeight="1">
      <c r="A98" s="196"/>
      <c r="B98" s="197"/>
      <c r="C98" s="163"/>
      <c r="D98" s="163"/>
      <c r="E98" s="158"/>
      <c r="F98" s="158"/>
      <c r="G98" s="158"/>
      <c r="H98" s="158"/>
      <c r="I98" s="158"/>
      <c r="J98" s="158"/>
      <c r="K98" s="158"/>
      <c r="L98" s="158"/>
      <c r="M98" s="158"/>
      <c r="N98" s="158"/>
      <c r="O98" s="158"/>
      <c r="P98" s="158"/>
      <c r="Q98" s="158"/>
      <c r="R98" s="14"/>
      <c r="S98" s="14"/>
      <c r="T98" s="14"/>
      <c r="U98" s="14"/>
      <c r="V98" s="14"/>
      <c r="W98" s="199"/>
      <c r="X98" s="199"/>
      <c r="Y98" s="79"/>
      <c r="Z98" s="79"/>
      <c r="AA98" s="79"/>
      <c r="AB98" s="79"/>
      <c r="AC98" s="183"/>
    </row>
    <row r="99" spans="1:29" ht="22.5" hidden="1" customHeight="1">
      <c r="A99" s="196"/>
      <c r="B99" s="197"/>
      <c r="C99" s="163"/>
      <c r="D99" s="163"/>
      <c r="E99" s="158"/>
      <c r="F99" s="158"/>
      <c r="G99" s="158"/>
      <c r="H99" s="158"/>
      <c r="I99" s="158"/>
      <c r="J99" s="158"/>
      <c r="K99" s="158"/>
      <c r="L99" s="158"/>
      <c r="M99" s="158"/>
      <c r="N99" s="158"/>
      <c r="O99" s="158"/>
      <c r="P99" s="158"/>
      <c r="Q99" s="158"/>
      <c r="R99" s="14"/>
      <c r="S99" s="14"/>
      <c r="T99" s="14"/>
      <c r="U99" s="14"/>
      <c r="V99" s="14"/>
      <c r="W99" s="199"/>
      <c r="X99" s="199"/>
      <c r="Y99" s="79"/>
      <c r="Z99" s="79"/>
      <c r="AA99" s="79"/>
      <c r="AB99" s="79"/>
      <c r="AC99" s="183"/>
    </row>
    <row r="100" spans="1:29" ht="22.5" hidden="1" customHeight="1">
      <c r="A100" s="196"/>
      <c r="B100" s="197"/>
      <c r="C100" s="163"/>
      <c r="D100" s="163"/>
      <c r="E100" s="158"/>
      <c r="F100" s="158"/>
      <c r="G100" s="158"/>
      <c r="H100" s="158"/>
      <c r="I100" s="158"/>
      <c r="J100" s="158"/>
      <c r="K100" s="158"/>
      <c r="L100" s="158"/>
      <c r="M100" s="158"/>
      <c r="N100" s="158"/>
      <c r="O100" s="158"/>
      <c r="P100" s="158"/>
      <c r="Q100" s="158"/>
      <c r="R100" s="14"/>
      <c r="S100" s="14"/>
      <c r="T100" s="14"/>
      <c r="U100" s="14"/>
      <c r="V100" s="14"/>
      <c r="W100" s="199"/>
      <c r="X100" s="199"/>
      <c r="Y100" s="79"/>
      <c r="Z100" s="79"/>
      <c r="AA100" s="79"/>
      <c r="AB100" s="79"/>
      <c r="AC100" s="183"/>
    </row>
    <row r="101" spans="1:29" ht="22.5" hidden="1" customHeight="1">
      <c r="A101" s="196"/>
      <c r="B101" s="197"/>
      <c r="C101" s="163"/>
      <c r="D101" s="163"/>
      <c r="E101" s="158"/>
      <c r="F101" s="158"/>
      <c r="G101" s="158"/>
      <c r="H101" s="158"/>
      <c r="I101" s="158"/>
      <c r="J101" s="158"/>
      <c r="K101" s="158"/>
      <c r="L101" s="158"/>
      <c r="M101" s="158"/>
      <c r="N101" s="158"/>
      <c r="O101" s="158"/>
      <c r="P101" s="158"/>
      <c r="Q101" s="158"/>
      <c r="R101" s="14"/>
      <c r="S101" s="14"/>
      <c r="T101" s="14"/>
      <c r="U101" s="14"/>
      <c r="V101" s="14"/>
      <c r="W101" s="199"/>
      <c r="X101" s="199"/>
      <c r="Y101" s="79"/>
      <c r="Z101" s="79"/>
      <c r="AA101" s="79"/>
      <c r="AB101" s="79"/>
      <c r="AC101" s="183"/>
    </row>
    <row r="102" spans="1:29" ht="22.5" hidden="1" customHeight="1">
      <c r="B102" s="200"/>
      <c r="Y102" s="181">
        <v>6101</v>
      </c>
      <c r="Z102" s="79"/>
      <c r="AA102" s="79">
        <v>6101</v>
      </c>
      <c r="AB102" s="79"/>
      <c r="AC102" s="183"/>
    </row>
    <row r="103" spans="1:29" ht="22.5" hidden="1" customHeight="1">
      <c r="B103" s="200"/>
      <c r="R103" s="12"/>
      <c r="Y103" s="181">
        <v>6112</v>
      </c>
      <c r="Z103" s="79"/>
      <c r="AA103" s="79">
        <v>6115</v>
      </c>
      <c r="AB103" s="79"/>
      <c r="AC103" s="183"/>
    </row>
    <row r="104" spans="1:29" ht="22.5" hidden="1" customHeight="1">
      <c r="B104" s="200"/>
      <c r="R104" s="12"/>
      <c r="Y104" s="181">
        <v>6113</v>
      </c>
      <c r="Z104" s="79"/>
      <c r="AA104" s="181">
        <v>6301</v>
      </c>
      <c r="AB104" s="181"/>
      <c r="AC104" s="183"/>
    </row>
    <row r="105" spans="1:29" ht="22.5" hidden="1" customHeight="1">
      <c r="W105" s="199"/>
      <c r="X105" s="199"/>
      <c r="Y105" s="181">
        <v>6115</v>
      </c>
      <c r="Z105" s="79"/>
      <c r="AA105" s="181">
        <v>6302</v>
      </c>
      <c r="AB105" s="181"/>
      <c r="AC105" s="183"/>
    </row>
    <row r="106" spans="1:29" ht="22.5" hidden="1" customHeight="1">
      <c r="B106" s="12"/>
      <c r="Y106" s="181"/>
      <c r="Z106" s="178"/>
      <c r="AA106" s="181">
        <v>6304</v>
      </c>
      <c r="AB106" s="181"/>
      <c r="AC106" s="183"/>
    </row>
    <row r="107" spans="1:29" ht="22.5" hidden="1" customHeight="1">
      <c r="W107" s="199"/>
      <c r="X107" s="199"/>
      <c r="Y107" s="79"/>
      <c r="Z107" s="79"/>
      <c r="AA107" s="79"/>
      <c r="AB107" s="79"/>
      <c r="AC107" s="79"/>
    </row>
    <row r="108" spans="1:29" ht="22.5" hidden="1" customHeight="1">
      <c r="Y108" s="79"/>
      <c r="Z108" s="178">
        <f>SUM(Z92:Z106)</f>
        <v>0</v>
      </c>
      <c r="AA108" s="178"/>
      <c r="AB108" s="178"/>
      <c r="AC108" s="178">
        <f>SUM(AC92:AC106)</f>
        <v>0</v>
      </c>
    </row>
    <row r="109" spans="1:29" ht="17.25" hidden="1" customHeight="1">
      <c r="Y109" s="181"/>
      <c r="Z109" s="79"/>
      <c r="AA109" s="181"/>
      <c r="AB109" s="181"/>
      <c r="AC109" s="79"/>
    </row>
    <row r="110" spans="1:29" ht="17.25" hidden="1" customHeight="1">
      <c r="Y110" s="181"/>
      <c r="Z110" s="79">
        <f>Z86+'[2]TL nâng L 2022 (2)'!AC45</f>
        <v>311333782.09000003</v>
      </c>
      <c r="AA110" s="79"/>
      <c r="AB110" s="79"/>
      <c r="AC110" s="79">
        <f>V86+'[2]TL nâng L 2022 (2)'!AE45</f>
        <v>234920826.46999997</v>
      </c>
    </row>
    <row r="111" spans="1:29" ht="17.25" hidden="1" customHeight="1">
      <c r="B111" s="12"/>
      <c r="Y111" s="79"/>
      <c r="Z111" s="79"/>
      <c r="AA111" s="79"/>
      <c r="AB111" s="79"/>
      <c r="AC111" s="79"/>
    </row>
    <row r="112" spans="1:29" ht="17.25" hidden="1" customHeight="1">
      <c r="B112" s="12"/>
      <c r="Y112" s="79"/>
      <c r="Z112" s="79"/>
      <c r="AA112" s="79"/>
      <c r="AB112" s="79"/>
      <c r="AC112" s="79"/>
    </row>
    <row r="113" spans="1:30" ht="17.25" hidden="1" customHeight="1">
      <c r="B113" s="12"/>
      <c r="Y113" s="181"/>
      <c r="Z113" s="79"/>
      <c r="AA113" s="79"/>
      <c r="AB113" s="79"/>
      <c r="AC113" s="79"/>
    </row>
    <row r="114" spans="1:30" ht="17.25" hidden="1" customHeight="1">
      <c r="B114" s="12"/>
      <c r="Y114" s="181"/>
      <c r="Z114" s="79" t="e">
        <f>Z86+V86+V90</f>
        <v>#REF!</v>
      </c>
      <c r="AA114" s="181" t="e">
        <f>Z114*3</f>
        <v>#REF!</v>
      </c>
      <c r="AB114" s="181"/>
      <c r="AC114" s="79"/>
    </row>
    <row r="115" spans="1:30" s="202" customFormat="1" ht="17.25" hidden="1" customHeight="1">
      <c r="A115" s="5"/>
      <c r="B115" s="12"/>
      <c r="C115" s="5"/>
      <c r="D115" s="5"/>
      <c r="E115" s="12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6"/>
      <c r="X115" s="6"/>
      <c r="Y115" s="181"/>
      <c r="Z115" s="79"/>
      <c r="AA115" s="79"/>
      <c r="AB115" s="79"/>
      <c r="AC115" s="79"/>
      <c r="AD115" s="201"/>
    </row>
    <row r="116" spans="1:30" s="202" customFormat="1" ht="23.25" hidden="1" customHeight="1">
      <c r="A116" s="5"/>
      <c r="B116" s="3"/>
      <c r="C116" s="5"/>
      <c r="D116" s="5"/>
      <c r="E116" s="12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6"/>
      <c r="X116" s="6"/>
      <c r="Y116" s="79"/>
      <c r="Z116" s="79">
        <v>597922990</v>
      </c>
      <c r="AA116" s="79"/>
      <c r="AB116" s="79"/>
      <c r="AC116" s="79"/>
      <c r="AD116" s="201"/>
    </row>
    <row r="117" spans="1:30" s="202" customFormat="1" ht="17.25" hidden="1" customHeight="1">
      <c r="A117" s="5"/>
      <c r="B117" s="3"/>
      <c r="C117" s="5"/>
      <c r="D117" s="5"/>
      <c r="E117" s="12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6"/>
      <c r="X117" s="6"/>
      <c r="Y117" s="79"/>
      <c r="Z117" s="79" t="e">
        <f>Z116-Z114</f>
        <v>#REF!</v>
      </c>
      <c r="AA117" s="79"/>
      <c r="AB117" s="79"/>
      <c r="AC117" s="79"/>
      <c r="AD117" s="201"/>
    </row>
    <row r="118" spans="1:30" s="202" customFormat="1" ht="17.25" hidden="1" customHeight="1">
      <c r="A118" s="5"/>
      <c r="B118" s="3"/>
      <c r="C118" s="5"/>
      <c r="D118" s="5"/>
      <c r="E118" s="12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6"/>
      <c r="X118" s="6"/>
      <c r="Y118" s="181"/>
      <c r="Z118" s="79"/>
      <c r="AA118" s="79"/>
      <c r="AB118" s="79"/>
      <c r="AC118" s="79"/>
      <c r="AD118" s="201"/>
    </row>
    <row r="119" spans="1:30" s="202" customFormat="1" ht="17.25" hidden="1" customHeight="1">
      <c r="A119" s="5"/>
      <c r="B119" s="3"/>
      <c r="C119" s="5"/>
      <c r="D119" s="5"/>
      <c r="E119" s="12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6"/>
      <c r="X119" s="6"/>
      <c r="Y119" s="181"/>
      <c r="Z119" s="79"/>
      <c r="AA119" s="181"/>
      <c r="AB119" s="181"/>
      <c r="AC119" s="79"/>
      <c r="AD119" s="201"/>
    </row>
    <row r="120" spans="1:30" s="202" customFormat="1" ht="13.5" hidden="1" customHeight="1">
      <c r="A120" s="5"/>
      <c r="B120" s="3"/>
      <c r="C120" s="5"/>
      <c r="D120" s="5"/>
      <c r="E120" s="12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6"/>
      <c r="X120" s="6"/>
      <c r="Y120" s="181"/>
      <c r="Z120" s="79"/>
      <c r="AA120" s="79"/>
      <c r="AB120" s="79"/>
      <c r="AC120" s="79"/>
      <c r="AD120" s="201"/>
    </row>
    <row r="121" spans="1:30" s="202" customFormat="1" ht="17.25" hidden="1" customHeight="1">
      <c r="A121" s="5"/>
      <c r="B121" s="3"/>
      <c r="C121" s="5"/>
      <c r="D121" s="5"/>
      <c r="E121" s="12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6"/>
      <c r="X121" s="6"/>
      <c r="Y121" s="7" t="e">
        <f>#REF!+#REF!-#REF!</f>
        <v>#REF!</v>
      </c>
      <c r="Z121" s="7"/>
      <c r="AA121" s="7"/>
      <c r="AB121" s="7"/>
      <c r="AC121" s="5"/>
      <c r="AD121" s="201"/>
    </row>
    <row r="122" spans="1:30" s="202" customFormat="1" ht="17.25" hidden="1" customHeight="1">
      <c r="A122" s="5"/>
      <c r="B122" s="200"/>
      <c r="C122" s="5"/>
      <c r="D122" s="5"/>
      <c r="E122" s="12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6"/>
      <c r="X122" s="6"/>
      <c r="Y122" s="7" t="e">
        <f>Y121-3205351</f>
        <v>#REF!</v>
      </c>
      <c r="Z122" s="7"/>
      <c r="AA122" s="7"/>
      <c r="AB122" s="7"/>
      <c r="AC122" s="5"/>
      <c r="AD122" s="201"/>
    </row>
    <row r="123" spans="1:30" s="202" customFormat="1" ht="25.5" hidden="1" customHeight="1">
      <c r="A123" s="5"/>
      <c r="B123" s="5"/>
      <c r="C123" s="5"/>
      <c r="D123" s="5"/>
      <c r="E123" s="12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6"/>
      <c r="X123" s="6"/>
      <c r="Y123" s="7">
        <v>297197</v>
      </c>
      <c r="Z123" s="7"/>
      <c r="AA123" s="7"/>
      <c r="AB123" s="7"/>
      <c r="AC123" s="5"/>
      <c r="AD123" s="201"/>
    </row>
    <row r="124" spans="1:30" s="202" customFormat="1" ht="17.25" hidden="1" customHeight="1">
      <c r="A124" s="5"/>
      <c r="B124" s="5"/>
      <c r="C124" s="5"/>
      <c r="D124" s="5"/>
      <c r="E124" s="12"/>
      <c r="F124" s="5"/>
      <c r="G124" s="5"/>
      <c r="H124" s="5"/>
      <c r="I124" s="5"/>
      <c r="J124" s="5" t="s">
        <v>146</v>
      </c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6"/>
      <c r="X124" s="6"/>
      <c r="Y124" s="7">
        <v>7468391</v>
      </c>
      <c r="Z124" s="7"/>
      <c r="AA124" s="7"/>
      <c r="AB124" s="7"/>
      <c r="AC124" s="5"/>
      <c r="AD124" s="201"/>
    </row>
    <row r="125" spans="1:30" s="202" customFormat="1" ht="17.25" hidden="1" customHeight="1">
      <c r="A125" s="5"/>
      <c r="B125" s="5"/>
      <c r="C125" s="5"/>
      <c r="D125" s="5"/>
      <c r="E125" s="12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6"/>
      <c r="X125" s="6"/>
      <c r="Y125" s="7">
        <v>5026050</v>
      </c>
      <c r="Z125" s="157">
        <f>SUM(Z120:Z124)</f>
        <v>0</v>
      </c>
      <c r="AA125" s="203"/>
      <c r="AB125" s="203"/>
      <c r="AC125" s="5"/>
      <c r="AD125" s="201"/>
    </row>
    <row r="126" spans="1:30" s="202" customFormat="1" ht="17.25" hidden="1" customHeight="1">
      <c r="A126" s="5"/>
      <c r="B126" s="5"/>
      <c r="C126" s="5"/>
      <c r="D126" s="5"/>
      <c r="E126" s="12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6"/>
      <c r="X126" s="6"/>
      <c r="Y126" s="7">
        <f>Y123+Y124-Y125</f>
        <v>2739538</v>
      </c>
      <c r="Z126" s="7"/>
      <c r="AA126" s="204">
        <f>Z125+AA123</f>
        <v>0</v>
      </c>
      <c r="AB126" s="204"/>
      <c r="AC126" s="5"/>
      <c r="AD126" s="201"/>
    </row>
    <row r="127" spans="1:30" s="202" customFormat="1" ht="17.25" hidden="1" customHeight="1">
      <c r="A127" s="5"/>
      <c r="B127" s="5"/>
      <c r="C127" s="5"/>
      <c r="D127" s="5"/>
      <c r="E127" s="12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6"/>
      <c r="X127" s="6"/>
      <c r="Y127" s="7"/>
      <c r="Z127" s="7"/>
      <c r="AA127" s="7"/>
      <c r="AB127" s="7"/>
      <c r="AC127" s="5"/>
      <c r="AD127" s="201"/>
    </row>
    <row r="128" spans="1:30" s="202" customFormat="1" ht="17.25" hidden="1" customHeight="1">
      <c r="A128" s="5"/>
      <c r="B128" s="5"/>
      <c r="C128" s="5"/>
      <c r="D128" s="5"/>
      <c r="E128" s="12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6"/>
      <c r="X128" s="6"/>
      <c r="Y128" s="7"/>
      <c r="Z128" s="7"/>
      <c r="AA128" s="7"/>
      <c r="AB128" s="7"/>
      <c r="AC128" s="5"/>
      <c r="AD128" s="201"/>
    </row>
    <row r="129" spans="1:30" s="202" customFormat="1" ht="17.25" customHeight="1">
      <c r="A129" s="5"/>
      <c r="B129" s="5"/>
      <c r="C129" s="5"/>
      <c r="D129" s="5"/>
      <c r="E129" s="12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6"/>
      <c r="X129" s="6"/>
      <c r="Y129" s="7"/>
      <c r="Z129" s="205">
        <f>Z76-V62</f>
        <v>-0.49000000953674316</v>
      </c>
      <c r="AA129" s="7"/>
      <c r="AB129" s="7"/>
      <c r="AC129" s="5"/>
      <c r="AD129" s="201"/>
    </row>
    <row r="130" spans="1:30" s="202" customFormat="1" ht="17.25" customHeight="1">
      <c r="A130" s="5"/>
      <c r="B130" s="5"/>
      <c r="C130" s="5"/>
      <c r="D130" s="5"/>
      <c r="E130" s="12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6"/>
      <c r="X130" s="6"/>
      <c r="Y130" s="7"/>
      <c r="Z130" s="7"/>
      <c r="AA130" s="7"/>
      <c r="AB130" s="7"/>
      <c r="AC130" s="5"/>
      <c r="AD130" s="201"/>
    </row>
    <row r="131" spans="1:30" ht="17.25" customHeight="1"/>
    <row r="132" spans="1:30" ht="17.25" customHeight="1"/>
    <row r="133" spans="1:30" ht="17.25" customHeight="1"/>
    <row r="134" spans="1:30" ht="17.25" customHeight="1"/>
    <row r="135" spans="1:30" ht="17.25" customHeight="1"/>
    <row r="136" spans="1:30" ht="17.25" customHeight="1"/>
    <row r="137" spans="1:30" ht="17.25" customHeight="1"/>
    <row r="138" spans="1:30" ht="17.25" customHeight="1"/>
    <row r="139" spans="1:30" ht="17.25" customHeight="1"/>
    <row r="140" spans="1:30" ht="17.25" customHeight="1"/>
    <row r="141" spans="1:30" ht="17.25" customHeight="1"/>
    <row r="142" spans="1:30" ht="17.25" customHeight="1"/>
    <row r="143" spans="1:30" ht="17.25" customHeight="1"/>
    <row r="144" spans="1:30" ht="17.25" customHeight="1"/>
    <row r="145" ht="17.25" customHeight="1"/>
    <row r="146" ht="17.25" customHeight="1"/>
  </sheetData>
  <autoFilter ref="A8:AC63" xr:uid="{00000000-0009-0000-0000-000008000000}"/>
  <mergeCells count="48">
    <mergeCell ref="U88:V88"/>
    <mergeCell ref="Y91:Z91"/>
    <mergeCell ref="AA91:AC91"/>
    <mergeCell ref="B66:C66"/>
    <mergeCell ref="R66:V66"/>
    <mergeCell ref="B70:C70"/>
    <mergeCell ref="R70:V70"/>
    <mergeCell ref="U77:V77"/>
    <mergeCell ref="Y77:Z77"/>
    <mergeCell ref="S6:S7"/>
    <mergeCell ref="Y9:AC9"/>
    <mergeCell ref="B45:M45"/>
    <mergeCell ref="B60:P60"/>
    <mergeCell ref="R65:V65"/>
    <mergeCell ref="Y65:Z65"/>
    <mergeCell ref="AA65:AC65"/>
    <mergeCell ref="J6:J7"/>
    <mergeCell ref="K6:K7"/>
    <mergeCell ref="L6:M6"/>
    <mergeCell ref="P6:P7"/>
    <mergeCell ref="Q6:Q7"/>
    <mergeCell ref="R6:R7"/>
    <mergeCell ref="AB4:AB7"/>
    <mergeCell ref="AC4:AC7"/>
    <mergeCell ref="F5:F7"/>
    <mergeCell ref="G5:G7"/>
    <mergeCell ref="H5:H7"/>
    <mergeCell ref="I5:M5"/>
    <mergeCell ref="N5:N7"/>
    <mergeCell ref="O5:O7"/>
    <mergeCell ref="P5:S5"/>
    <mergeCell ref="I6:I7"/>
    <mergeCell ref="U4:U7"/>
    <mergeCell ref="V4:V7"/>
    <mergeCell ref="W4:W7"/>
    <mergeCell ref="Y4:Y7"/>
    <mergeCell ref="Z4:Z7"/>
    <mergeCell ref="AA4:AA7"/>
    <mergeCell ref="A2:W2"/>
    <mergeCell ref="J3:L3"/>
    <mergeCell ref="A4:A7"/>
    <mergeCell ref="B4:B7"/>
    <mergeCell ref="C4:C7"/>
    <mergeCell ref="D4:D7"/>
    <mergeCell ref="E4:E7"/>
    <mergeCell ref="F4:M4"/>
    <mergeCell ref="N4:S4"/>
    <mergeCell ref="T4:T7"/>
  </mergeCells>
  <pageMargins left="0.23622047244094491" right="0" top="0.27559055118110237" bottom="0.23622047244094491" header="0.19685039370078741" footer="0.19685039370078741"/>
  <pageSetup paperSize="9" scale="64" orientation="landscape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F90EA5-5802-4EE1-A09E-29C55E62C444}">
  <sheetPr>
    <tabColor theme="3" tint="0.39997558519241921"/>
  </sheetPr>
  <dimension ref="A1:AE146"/>
  <sheetViews>
    <sheetView tabSelected="1" zoomScaleNormal="100" workbookViewId="0">
      <pane xSplit="6" ySplit="8" topLeftCell="G9" activePane="bottomRight" state="frozen"/>
      <selection pane="topRight" activeCell="G1" sqref="G1"/>
      <selection pane="bottomLeft" activeCell="A9" sqref="A9"/>
      <selection pane="bottomRight" activeCell="X1" sqref="X1:AO1048576"/>
    </sheetView>
  </sheetViews>
  <sheetFormatPr defaultColWidth="9" defaultRowHeight="16.5"/>
  <cols>
    <col min="1" max="1" width="5.125" style="5" customWidth="1"/>
    <col min="2" max="2" width="20.75" style="5" customWidth="1"/>
    <col min="3" max="3" width="9.5" style="5" customWidth="1"/>
    <col min="4" max="4" width="13.5" style="5" customWidth="1"/>
    <col min="5" max="5" width="4.125" style="12" customWidth="1"/>
    <col min="6" max="6" width="7.25" style="5" customWidth="1"/>
    <col min="7" max="7" width="9.75" style="5" customWidth="1"/>
    <col min="8" max="10" width="5.5" style="5" customWidth="1"/>
    <col min="11" max="11" width="7.5" style="5" customWidth="1"/>
    <col min="12" max="12" width="5.75" style="5" customWidth="1"/>
    <col min="13" max="13" width="7.75" style="5" customWidth="1"/>
    <col min="14" max="14" width="11.5" style="5" customWidth="1"/>
    <col min="15" max="15" width="8" style="5" customWidth="1"/>
    <col min="16" max="16" width="9.75" style="5" customWidth="1"/>
    <col min="17" max="17" width="8.5" style="5" customWidth="1"/>
    <col min="18" max="18" width="11" style="5" customWidth="1"/>
    <col min="19" max="19" width="10.75" style="5" customWidth="1"/>
    <col min="20" max="20" width="11.5" style="5" customWidth="1"/>
    <col min="21" max="21" width="10.75" style="5" customWidth="1"/>
    <col min="22" max="22" width="12.125" style="5" customWidth="1"/>
    <col min="23" max="23" width="7.5" style="6" customWidth="1"/>
    <col min="24" max="24" width="7.5" style="6" hidden="1" customWidth="1"/>
    <col min="25" max="25" width="12.875" style="7" hidden="1" customWidth="1"/>
    <col min="26" max="26" width="14.75" style="7" hidden="1" customWidth="1"/>
    <col min="27" max="28" width="14.5" style="7" hidden="1" customWidth="1"/>
    <col min="29" max="29" width="13.25" style="5" hidden="1" customWidth="1"/>
    <col min="30" max="30" width="14" style="8" hidden="1" customWidth="1"/>
    <col min="31" max="31" width="9.875" style="5" hidden="1" customWidth="1"/>
    <col min="32" max="41" width="0" style="5" hidden="1" customWidth="1"/>
    <col min="42" max="16384" width="9" style="5"/>
  </cols>
  <sheetData>
    <row r="1" spans="1:31" ht="21" customHeight="1">
      <c r="A1" s="1" t="s">
        <v>0</v>
      </c>
      <c r="B1" s="2"/>
      <c r="C1" s="2"/>
      <c r="D1" s="2"/>
      <c r="E1" s="3"/>
      <c r="F1" s="2"/>
      <c r="G1" s="2"/>
      <c r="H1" s="2"/>
      <c r="I1" s="4"/>
      <c r="Q1" s="4"/>
      <c r="R1" s="4"/>
      <c r="S1" s="4"/>
      <c r="T1" s="4"/>
      <c r="U1" s="4"/>
      <c r="V1" s="4"/>
    </row>
    <row r="2" spans="1:31" ht="24.75" customHeight="1">
      <c r="A2" s="9" t="s">
        <v>147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10"/>
    </row>
    <row r="3" spans="1:31" ht="9" customHeight="1">
      <c r="A3" s="11"/>
      <c r="J3" s="13"/>
      <c r="K3" s="13"/>
      <c r="L3" s="13"/>
      <c r="M3" s="14"/>
      <c r="N3" s="14"/>
      <c r="O3" s="14"/>
      <c r="P3" s="14"/>
      <c r="Q3" s="15"/>
      <c r="R3" s="15"/>
      <c r="S3" s="4"/>
      <c r="T3" s="4"/>
      <c r="U3" s="4"/>
      <c r="V3" s="4"/>
    </row>
    <row r="4" spans="1:31" s="11" customFormat="1" ht="26.25" customHeight="1">
      <c r="A4" s="16" t="s">
        <v>2</v>
      </c>
      <c r="B4" s="16" t="s">
        <v>3</v>
      </c>
      <c r="C4" s="16" t="s">
        <v>4</v>
      </c>
      <c r="D4" s="16" t="s">
        <v>5</v>
      </c>
      <c r="E4" s="17" t="s">
        <v>6</v>
      </c>
      <c r="F4" s="18" t="s">
        <v>7</v>
      </c>
      <c r="G4" s="19"/>
      <c r="H4" s="19"/>
      <c r="I4" s="19"/>
      <c r="J4" s="19"/>
      <c r="K4" s="19"/>
      <c r="L4" s="19"/>
      <c r="M4" s="20"/>
      <c r="N4" s="21" t="s">
        <v>8</v>
      </c>
      <c r="O4" s="22"/>
      <c r="P4" s="22"/>
      <c r="Q4" s="22"/>
      <c r="R4" s="22"/>
      <c r="S4" s="23"/>
      <c r="T4" s="24" t="s">
        <v>9</v>
      </c>
      <c r="U4" s="25" t="s">
        <v>10</v>
      </c>
      <c r="V4" s="24" t="s">
        <v>11</v>
      </c>
      <c r="W4" s="24" t="s">
        <v>12</v>
      </c>
      <c r="X4" s="26"/>
      <c r="Y4" s="27" t="s">
        <v>13</v>
      </c>
      <c r="Z4" s="28">
        <v>0.03</v>
      </c>
      <c r="AA4" s="28">
        <v>0.01</v>
      </c>
      <c r="AB4" s="29">
        <v>5.0000000000000001E-3</v>
      </c>
      <c r="AC4" s="28" t="s">
        <v>14</v>
      </c>
      <c r="AD4" s="30"/>
    </row>
    <row r="5" spans="1:31" s="11" customFormat="1" ht="20.25" customHeight="1">
      <c r="A5" s="31"/>
      <c r="B5" s="31"/>
      <c r="C5" s="31"/>
      <c r="D5" s="31"/>
      <c r="E5" s="32"/>
      <c r="F5" s="24" t="s">
        <v>15</v>
      </c>
      <c r="G5" s="24" t="s">
        <v>16</v>
      </c>
      <c r="H5" s="33" t="s">
        <v>17</v>
      </c>
      <c r="I5" s="34" t="s">
        <v>18</v>
      </c>
      <c r="J5" s="35"/>
      <c r="K5" s="35"/>
      <c r="L5" s="35"/>
      <c r="M5" s="36"/>
      <c r="N5" s="25" t="s">
        <v>19</v>
      </c>
      <c r="O5" s="33" t="s">
        <v>17</v>
      </c>
      <c r="P5" s="21" t="s">
        <v>20</v>
      </c>
      <c r="Q5" s="22"/>
      <c r="R5" s="22"/>
      <c r="S5" s="23"/>
      <c r="T5" s="37"/>
      <c r="U5" s="38"/>
      <c r="V5" s="37"/>
      <c r="W5" s="37"/>
      <c r="X5" s="39"/>
      <c r="Y5" s="40"/>
      <c r="Z5" s="41"/>
      <c r="AA5" s="41"/>
      <c r="AB5" s="42"/>
      <c r="AC5" s="41"/>
      <c r="AD5" s="30"/>
    </row>
    <row r="6" spans="1:31" s="11" customFormat="1" ht="28.5" customHeight="1">
      <c r="A6" s="31"/>
      <c r="B6" s="31"/>
      <c r="C6" s="31"/>
      <c r="D6" s="31"/>
      <c r="E6" s="32"/>
      <c r="F6" s="37"/>
      <c r="G6" s="37"/>
      <c r="H6" s="43"/>
      <c r="I6" s="33" t="s">
        <v>6</v>
      </c>
      <c r="J6" s="33" t="s">
        <v>21</v>
      </c>
      <c r="K6" s="33" t="s">
        <v>22</v>
      </c>
      <c r="L6" s="44" t="s">
        <v>23</v>
      </c>
      <c r="M6" s="45"/>
      <c r="N6" s="38"/>
      <c r="O6" s="43"/>
      <c r="P6" s="33" t="s">
        <v>6</v>
      </c>
      <c r="Q6" s="33" t="s">
        <v>21</v>
      </c>
      <c r="R6" s="33" t="s">
        <v>22</v>
      </c>
      <c r="S6" s="33" t="s">
        <v>23</v>
      </c>
      <c r="T6" s="37"/>
      <c r="U6" s="38"/>
      <c r="V6" s="37"/>
      <c r="W6" s="37"/>
      <c r="X6" s="39"/>
      <c r="Y6" s="40"/>
      <c r="Z6" s="41"/>
      <c r="AA6" s="41"/>
      <c r="AB6" s="42"/>
      <c r="AC6" s="41"/>
      <c r="AD6" s="30"/>
    </row>
    <row r="7" spans="1:31" s="11" customFormat="1" ht="18.75" customHeight="1">
      <c r="A7" s="46"/>
      <c r="B7" s="46"/>
      <c r="C7" s="46"/>
      <c r="D7" s="46"/>
      <c r="E7" s="47"/>
      <c r="F7" s="48"/>
      <c r="G7" s="48"/>
      <c r="H7" s="49"/>
      <c r="I7" s="50"/>
      <c r="J7" s="49"/>
      <c r="K7" s="49"/>
      <c r="L7" s="51" t="s">
        <v>24</v>
      </c>
      <c r="M7" s="51" t="s">
        <v>25</v>
      </c>
      <c r="N7" s="52"/>
      <c r="O7" s="49"/>
      <c r="P7" s="49"/>
      <c r="Q7" s="49"/>
      <c r="R7" s="49"/>
      <c r="S7" s="49"/>
      <c r="T7" s="48"/>
      <c r="U7" s="52"/>
      <c r="V7" s="48"/>
      <c r="W7" s="48"/>
      <c r="X7" s="53"/>
      <c r="Y7" s="54"/>
      <c r="Z7" s="55"/>
      <c r="AA7" s="55"/>
      <c r="AB7" s="56"/>
      <c r="AC7" s="55"/>
      <c r="AD7" s="30"/>
    </row>
    <row r="8" spans="1:31" s="11" customFormat="1" ht="13.5" customHeight="1">
      <c r="A8" s="57">
        <v>1</v>
      </c>
      <c r="B8" s="57">
        <v>2</v>
      </c>
      <c r="C8" s="57">
        <v>3</v>
      </c>
      <c r="D8" s="57"/>
      <c r="E8" s="57">
        <v>4</v>
      </c>
      <c r="F8" s="57">
        <v>5</v>
      </c>
      <c r="G8" s="57"/>
      <c r="H8" s="57">
        <v>6</v>
      </c>
      <c r="I8" s="57">
        <v>7</v>
      </c>
      <c r="J8" s="57">
        <v>8</v>
      </c>
      <c r="K8" s="57">
        <v>9</v>
      </c>
      <c r="L8" s="57">
        <v>10</v>
      </c>
      <c r="M8" s="57">
        <v>11</v>
      </c>
      <c r="N8" s="57">
        <v>12</v>
      </c>
      <c r="O8" s="57">
        <v>13</v>
      </c>
      <c r="P8" s="57">
        <v>14</v>
      </c>
      <c r="Q8" s="57">
        <v>15</v>
      </c>
      <c r="R8" s="57">
        <v>16</v>
      </c>
      <c r="S8" s="57">
        <v>17</v>
      </c>
      <c r="T8" s="57">
        <v>18</v>
      </c>
      <c r="U8" s="57">
        <v>19</v>
      </c>
      <c r="V8" s="57">
        <v>20</v>
      </c>
      <c r="W8" s="57">
        <v>21</v>
      </c>
      <c r="X8" s="58"/>
      <c r="Y8" s="59"/>
      <c r="Z8" s="59"/>
      <c r="AA8" s="60"/>
      <c r="AB8" s="60"/>
      <c r="AC8" s="60"/>
      <c r="AD8" s="30"/>
    </row>
    <row r="9" spans="1:31" ht="17.25" customHeight="1">
      <c r="A9" s="61" t="s">
        <v>26</v>
      </c>
      <c r="B9" s="62"/>
      <c r="C9" s="62"/>
      <c r="D9" s="62"/>
      <c r="E9" s="63"/>
      <c r="F9" s="62"/>
      <c r="G9" s="62"/>
      <c r="H9" s="62"/>
      <c r="I9" s="62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  <c r="V9" s="64"/>
      <c r="W9" s="65"/>
      <c r="X9" s="66"/>
      <c r="Y9" s="67"/>
      <c r="Z9" s="68"/>
      <c r="AA9" s="68"/>
      <c r="AB9" s="68"/>
      <c r="AC9" s="68"/>
    </row>
    <row r="10" spans="1:31" ht="36" customHeight="1">
      <c r="A10" s="65">
        <v>1</v>
      </c>
      <c r="B10" s="69" t="s">
        <v>27</v>
      </c>
      <c r="C10" s="70">
        <v>28502</v>
      </c>
      <c r="D10" s="71" t="s">
        <v>28</v>
      </c>
      <c r="E10" s="72" t="s">
        <v>29</v>
      </c>
      <c r="F10" s="62">
        <v>4.32</v>
      </c>
      <c r="G10" s="62"/>
      <c r="H10" s="73">
        <v>0</v>
      </c>
      <c r="I10" s="62">
        <v>0.5</v>
      </c>
      <c r="J10" s="62"/>
      <c r="K10" s="74">
        <f>(F10+H10*F10+I10)*35%</f>
        <v>1.6870000000000001</v>
      </c>
      <c r="L10" s="73">
        <v>0.25</v>
      </c>
      <c r="M10" s="75">
        <f>(F10+H10+I10)*L10</f>
        <v>1.2050000000000001</v>
      </c>
      <c r="N10" s="76">
        <f>F10*2340000</f>
        <v>10108800</v>
      </c>
      <c r="O10" s="76">
        <f>H10*F10*1800000</f>
        <v>0</v>
      </c>
      <c r="P10" s="76">
        <f>I10*2340000</f>
        <v>1170000</v>
      </c>
      <c r="Q10" s="76">
        <f>J10*2340000</f>
        <v>0</v>
      </c>
      <c r="R10" s="76">
        <f>K10*2340000</f>
        <v>3947580</v>
      </c>
      <c r="S10" s="76">
        <f>M10*2340000</f>
        <v>2819700</v>
      </c>
      <c r="T10" s="76">
        <f>SUM(N10:S10)</f>
        <v>18046080</v>
      </c>
      <c r="U10" s="76">
        <f>(N10+O10+P10+S10)*10.5%</f>
        <v>1480342.5</v>
      </c>
      <c r="V10" s="76">
        <f>ROUND((T10-U10),0)</f>
        <v>16565738</v>
      </c>
      <c r="W10" s="77"/>
      <c r="X10" s="78" t="s">
        <v>30</v>
      </c>
      <c r="Y10" s="79">
        <f t="shared" ref="Y10:Y43" si="0">(N10+O10+P10+S10)*17%</f>
        <v>2396745</v>
      </c>
      <c r="Z10" s="79">
        <f t="shared" ref="Z10:Z43" si="1">(N10+O10+P10+S10)*3%</f>
        <v>422955</v>
      </c>
      <c r="AA10" s="79">
        <f t="shared" ref="AA10:AA43" si="2">(N10+O10+P10+S10)*1%</f>
        <v>140985</v>
      </c>
      <c r="AB10" s="79">
        <f t="shared" ref="AB10:AB61" si="3">(N10+O10+P10+S10)*0.5%</f>
        <v>70492.5</v>
      </c>
      <c r="AC10" s="79">
        <f t="shared" ref="AC10:AC43" si="4">(N10+O10+P10+S10)*2%</f>
        <v>281970</v>
      </c>
      <c r="AD10" s="8">
        <v>1468499.7600000002</v>
      </c>
      <c r="AE10" s="80">
        <f>U10-AD10</f>
        <v>11842.739999999758</v>
      </c>
    </row>
    <row r="11" spans="1:31" ht="36" customHeight="1">
      <c r="A11" s="65">
        <f>A10+1</f>
        <v>2</v>
      </c>
      <c r="B11" s="81" t="s">
        <v>31</v>
      </c>
      <c r="C11" s="70">
        <v>30242</v>
      </c>
      <c r="D11" s="70" t="s">
        <v>32</v>
      </c>
      <c r="E11" s="72" t="s">
        <v>33</v>
      </c>
      <c r="F11" s="62">
        <v>3.99</v>
      </c>
      <c r="G11" s="62"/>
      <c r="H11" s="62"/>
      <c r="I11" s="62">
        <v>0.35</v>
      </c>
      <c r="J11" s="76"/>
      <c r="K11" s="74">
        <f>(F11+H11*F11+I11)*35%</f>
        <v>1.5189999999999999</v>
      </c>
      <c r="L11" s="206">
        <v>0.2</v>
      </c>
      <c r="M11" s="75">
        <f>(F11+H11+I11)*L11</f>
        <v>0.86799999999999999</v>
      </c>
      <c r="N11" s="76">
        <f t="shared" ref="N11:N42" si="5">F11*2340000</f>
        <v>9336600</v>
      </c>
      <c r="O11" s="76">
        <f t="shared" ref="O11:O42" si="6">H11*F11*1800000</f>
        <v>0</v>
      </c>
      <c r="P11" s="76">
        <f t="shared" ref="P11:R43" si="7">I11*2340000</f>
        <v>819000</v>
      </c>
      <c r="Q11" s="76">
        <f t="shared" si="7"/>
        <v>0</v>
      </c>
      <c r="R11" s="76">
        <f>K11*2340000</f>
        <v>3554460</v>
      </c>
      <c r="S11" s="76">
        <f>M11*2340000</f>
        <v>2031120</v>
      </c>
      <c r="T11" s="76">
        <f t="shared" ref="T11:T41" si="8">SUM(N11:S11)</f>
        <v>15741180</v>
      </c>
      <c r="U11" s="76">
        <f t="shared" ref="U11:U12" si="9">(N11+O11+P11+S11)*10.5%</f>
        <v>1279605.5999999999</v>
      </c>
      <c r="V11" s="76">
        <f t="shared" ref="V11:V43" si="10">ROUND((T11-U11),0)</f>
        <v>14461574</v>
      </c>
      <c r="W11" s="82" t="s">
        <v>51</v>
      </c>
      <c r="X11" s="78" t="s">
        <v>30</v>
      </c>
      <c r="Y11" s="79">
        <f t="shared" si="0"/>
        <v>2071742.4000000001</v>
      </c>
      <c r="Z11" s="79">
        <f t="shared" si="1"/>
        <v>365601.6</v>
      </c>
      <c r="AA11" s="79">
        <f t="shared" si="2"/>
        <v>121867.2</v>
      </c>
      <c r="AB11" s="79">
        <f t="shared" si="3"/>
        <v>60933.599999999999</v>
      </c>
      <c r="AC11" s="79">
        <f t="shared" si="4"/>
        <v>243734.39999999999</v>
      </c>
      <c r="AD11" s="8">
        <v>1268942.22</v>
      </c>
      <c r="AE11" s="80">
        <f t="shared" ref="AE11:AE63" si="11">U11-AD11</f>
        <v>10663.379999999888</v>
      </c>
    </row>
    <row r="12" spans="1:31" ht="36" customHeight="1">
      <c r="A12" s="65">
        <f>A11+1</f>
        <v>3</v>
      </c>
      <c r="B12" s="81" t="s">
        <v>34</v>
      </c>
      <c r="C12" s="70">
        <v>29295</v>
      </c>
      <c r="D12" s="70" t="s">
        <v>35</v>
      </c>
      <c r="E12" s="72" t="s">
        <v>33</v>
      </c>
      <c r="F12" s="62">
        <v>3.66</v>
      </c>
      <c r="G12" s="62"/>
      <c r="H12" s="62"/>
      <c r="I12" s="62">
        <v>0.35</v>
      </c>
      <c r="J12" s="64"/>
      <c r="K12" s="74">
        <f t="shared" ref="K12" si="12">(F12+H12*F12+I12)*35%</f>
        <v>1.4034999999999997</v>
      </c>
      <c r="L12" s="73">
        <v>0.17</v>
      </c>
      <c r="M12" s="75">
        <f t="shared" ref="M12:M13" si="13">(F12+H12+I12)*L12</f>
        <v>0.68169999999999997</v>
      </c>
      <c r="N12" s="76">
        <f t="shared" si="5"/>
        <v>8564400</v>
      </c>
      <c r="O12" s="76">
        <f t="shared" si="6"/>
        <v>0</v>
      </c>
      <c r="P12" s="76">
        <f t="shared" si="7"/>
        <v>819000</v>
      </c>
      <c r="Q12" s="76">
        <f t="shared" si="7"/>
        <v>0</v>
      </c>
      <c r="R12" s="76">
        <f t="shared" si="7"/>
        <v>3284189.9999999995</v>
      </c>
      <c r="S12" s="76">
        <f t="shared" ref="S12:S43" si="14">M12*2340000</f>
        <v>1595178</v>
      </c>
      <c r="T12" s="76">
        <f t="shared" si="8"/>
        <v>14262768</v>
      </c>
      <c r="U12" s="76">
        <f t="shared" si="9"/>
        <v>1152750.69</v>
      </c>
      <c r="V12" s="76">
        <f t="shared" si="10"/>
        <v>13110017</v>
      </c>
      <c r="W12" s="82"/>
      <c r="X12" s="78" t="s">
        <v>30</v>
      </c>
      <c r="Y12" s="79">
        <f t="shared" si="0"/>
        <v>1866358.2600000002</v>
      </c>
      <c r="Z12" s="79">
        <f t="shared" si="1"/>
        <v>329357.33999999997</v>
      </c>
      <c r="AA12" s="79">
        <f t="shared" si="2"/>
        <v>109785.78</v>
      </c>
      <c r="AB12" s="79">
        <f t="shared" si="3"/>
        <v>54892.89</v>
      </c>
      <c r="AC12" s="79">
        <f t="shared" si="4"/>
        <v>219571.56</v>
      </c>
      <c r="AD12" s="8">
        <v>1152750.69</v>
      </c>
      <c r="AE12" s="80">
        <f t="shared" si="11"/>
        <v>0</v>
      </c>
    </row>
    <row r="13" spans="1:31" ht="36" customHeight="1">
      <c r="A13" s="65">
        <f t="shared" ref="A13:A43" si="15">A12+1</f>
        <v>4</v>
      </c>
      <c r="B13" s="81" t="s">
        <v>36</v>
      </c>
      <c r="C13" s="70">
        <v>27777</v>
      </c>
      <c r="D13" s="70" t="s">
        <v>37</v>
      </c>
      <c r="E13" s="72" t="s">
        <v>38</v>
      </c>
      <c r="F13" s="62">
        <v>4.6500000000000004</v>
      </c>
      <c r="G13" s="62"/>
      <c r="H13" s="62"/>
      <c r="I13" s="62"/>
      <c r="J13" s="62"/>
      <c r="K13" s="62">
        <f>(F13+H13*F13)*35%</f>
        <v>1.6274999999999999</v>
      </c>
      <c r="L13" s="73">
        <v>0.28000000000000003</v>
      </c>
      <c r="M13" s="75">
        <f t="shared" si="13"/>
        <v>1.3020000000000003</v>
      </c>
      <c r="N13" s="76">
        <f>F13*2340000</f>
        <v>10881000</v>
      </c>
      <c r="O13" s="76">
        <f t="shared" si="6"/>
        <v>0</v>
      </c>
      <c r="P13" s="76">
        <f t="shared" si="7"/>
        <v>0</v>
      </c>
      <c r="Q13" s="76">
        <f t="shared" si="7"/>
        <v>0</v>
      </c>
      <c r="R13" s="76">
        <f>K13*2340000</f>
        <v>3808350</v>
      </c>
      <c r="S13" s="76">
        <f>M13*2340000</f>
        <v>3046680.0000000005</v>
      </c>
      <c r="T13" s="76">
        <f t="shared" si="8"/>
        <v>17736030</v>
      </c>
      <c r="U13" s="76">
        <f>(N13+O13+S13)*10.5%</f>
        <v>1462406.4</v>
      </c>
      <c r="V13" s="76">
        <f t="shared" si="10"/>
        <v>16273624</v>
      </c>
      <c r="W13" s="77"/>
      <c r="X13" s="78"/>
      <c r="Y13" s="79">
        <f t="shared" si="0"/>
        <v>2367705.6</v>
      </c>
      <c r="Z13" s="79">
        <f t="shared" si="1"/>
        <v>417830.39999999997</v>
      </c>
      <c r="AA13" s="79">
        <f t="shared" si="2"/>
        <v>139276.79999999999</v>
      </c>
      <c r="AB13" s="79">
        <f t="shared" si="3"/>
        <v>69638.399999999994</v>
      </c>
      <c r="AC13" s="79">
        <f t="shared" si="4"/>
        <v>278553.59999999998</v>
      </c>
      <c r="AD13" s="8">
        <v>1462406.4000000001</v>
      </c>
      <c r="AE13" s="80">
        <f t="shared" si="11"/>
        <v>0</v>
      </c>
    </row>
    <row r="14" spans="1:31" ht="36" customHeight="1">
      <c r="A14" s="65">
        <f t="shared" si="15"/>
        <v>5</v>
      </c>
      <c r="B14" s="81" t="s">
        <v>39</v>
      </c>
      <c r="C14" s="70">
        <v>28382</v>
      </c>
      <c r="D14" s="70" t="s">
        <v>40</v>
      </c>
      <c r="E14" s="72" t="s">
        <v>38</v>
      </c>
      <c r="F14" s="62">
        <v>4.6500000000000004</v>
      </c>
      <c r="G14" s="62"/>
      <c r="H14" s="62"/>
      <c r="I14" s="62"/>
      <c r="J14" s="83">
        <v>0.2</v>
      </c>
      <c r="K14" s="62">
        <f>(F14+H14*F14)*35%</f>
        <v>1.6274999999999999</v>
      </c>
      <c r="L14" s="206">
        <v>0.28000000000000003</v>
      </c>
      <c r="M14" s="75">
        <f>(F14+H14)*L14</f>
        <v>1.3020000000000003</v>
      </c>
      <c r="N14" s="76">
        <f t="shared" si="5"/>
        <v>10881000</v>
      </c>
      <c r="O14" s="76">
        <f t="shared" si="6"/>
        <v>0</v>
      </c>
      <c r="P14" s="76">
        <f>I14*2340000</f>
        <v>0</v>
      </c>
      <c r="Q14" s="76">
        <f t="shared" si="7"/>
        <v>468000</v>
      </c>
      <c r="R14" s="76">
        <f>K14*2340000</f>
        <v>3808350</v>
      </c>
      <c r="S14" s="76">
        <f>M14*2340000</f>
        <v>3046680.0000000005</v>
      </c>
      <c r="T14" s="76">
        <f>SUM(N14:S14)</f>
        <v>18204030</v>
      </c>
      <c r="U14" s="76">
        <f t="shared" ref="U14:U42" si="16">(N14+O14+S14)*10.5%</f>
        <v>1462406.4</v>
      </c>
      <c r="V14" s="76">
        <f>ROUND((T14-U14),0)</f>
        <v>16741624</v>
      </c>
      <c r="W14" s="82" t="s">
        <v>51</v>
      </c>
      <c r="X14" s="78" t="s">
        <v>30</v>
      </c>
      <c r="Y14" s="79">
        <f t="shared" si="0"/>
        <v>2367705.6</v>
      </c>
      <c r="Z14" s="79">
        <f t="shared" si="1"/>
        <v>417830.39999999997</v>
      </c>
      <c r="AA14" s="79">
        <f t="shared" si="2"/>
        <v>139276.79999999999</v>
      </c>
      <c r="AB14" s="79">
        <f t="shared" si="3"/>
        <v>69638.399999999994</v>
      </c>
      <c r="AC14" s="79">
        <f t="shared" si="4"/>
        <v>278553.59999999998</v>
      </c>
      <c r="AD14" s="8">
        <v>1450981.35</v>
      </c>
      <c r="AE14" s="80">
        <f t="shared" si="11"/>
        <v>11425.049999999814</v>
      </c>
    </row>
    <row r="15" spans="1:31" ht="36" customHeight="1">
      <c r="A15" s="65">
        <f t="shared" si="15"/>
        <v>6</v>
      </c>
      <c r="B15" s="81" t="s">
        <v>41</v>
      </c>
      <c r="C15" s="70">
        <v>28166</v>
      </c>
      <c r="D15" s="70" t="s">
        <v>42</v>
      </c>
      <c r="E15" s="72" t="s">
        <v>38</v>
      </c>
      <c r="F15" s="62">
        <v>4.32</v>
      </c>
      <c r="G15" s="62"/>
      <c r="H15" s="62"/>
      <c r="I15" s="62"/>
      <c r="J15" s="83"/>
      <c r="K15" s="62">
        <f t="shared" ref="K15:K40" si="17">(F15+H15*F15)*35%</f>
        <v>1.512</v>
      </c>
      <c r="L15" s="206">
        <v>0.25</v>
      </c>
      <c r="M15" s="75">
        <f t="shared" ref="M15:M39" si="18">(F15+H15)*L15</f>
        <v>1.08</v>
      </c>
      <c r="N15" s="76">
        <f t="shared" si="5"/>
        <v>10108800</v>
      </c>
      <c r="O15" s="76">
        <f t="shared" si="6"/>
        <v>0</v>
      </c>
      <c r="P15" s="76">
        <f t="shared" si="7"/>
        <v>0</v>
      </c>
      <c r="Q15" s="76">
        <f t="shared" si="7"/>
        <v>0</v>
      </c>
      <c r="R15" s="76">
        <f t="shared" si="7"/>
        <v>3538080</v>
      </c>
      <c r="S15" s="76">
        <f t="shared" si="14"/>
        <v>2527200</v>
      </c>
      <c r="T15" s="76">
        <f t="shared" si="8"/>
        <v>16174080</v>
      </c>
      <c r="U15" s="76">
        <f t="shared" si="16"/>
        <v>1326780</v>
      </c>
      <c r="V15" s="76">
        <f t="shared" si="10"/>
        <v>14847300</v>
      </c>
      <c r="W15" s="82" t="s">
        <v>51</v>
      </c>
      <c r="X15" s="78" t="s">
        <v>30</v>
      </c>
      <c r="Y15" s="79">
        <f t="shared" si="0"/>
        <v>2148120</v>
      </c>
      <c r="Z15" s="79">
        <f t="shared" si="1"/>
        <v>379080</v>
      </c>
      <c r="AA15" s="79">
        <f t="shared" si="2"/>
        <v>126360</v>
      </c>
      <c r="AB15" s="79">
        <f t="shared" si="3"/>
        <v>63180</v>
      </c>
      <c r="AC15" s="79">
        <f t="shared" si="4"/>
        <v>252720</v>
      </c>
      <c r="AD15" s="8">
        <v>1316165.76</v>
      </c>
      <c r="AE15" s="80">
        <f t="shared" si="11"/>
        <v>10614.239999999991</v>
      </c>
    </row>
    <row r="16" spans="1:31" ht="36" customHeight="1">
      <c r="A16" s="65">
        <f t="shared" si="15"/>
        <v>7</v>
      </c>
      <c r="B16" s="81" t="s">
        <v>43</v>
      </c>
      <c r="C16" s="70">
        <v>28443</v>
      </c>
      <c r="D16" s="70" t="s">
        <v>44</v>
      </c>
      <c r="E16" s="72" t="s">
        <v>38</v>
      </c>
      <c r="F16" s="62">
        <v>3.66</v>
      </c>
      <c r="G16" s="62"/>
      <c r="H16" s="62"/>
      <c r="I16" s="62"/>
      <c r="J16" s="83"/>
      <c r="K16" s="62">
        <f t="shared" si="17"/>
        <v>1.2809999999999999</v>
      </c>
      <c r="L16" s="73">
        <v>0.2</v>
      </c>
      <c r="M16" s="75">
        <f t="shared" si="18"/>
        <v>0.7320000000000001</v>
      </c>
      <c r="N16" s="76">
        <f t="shared" si="5"/>
        <v>8564400</v>
      </c>
      <c r="O16" s="76">
        <f t="shared" si="6"/>
        <v>0</v>
      </c>
      <c r="P16" s="76">
        <f t="shared" si="7"/>
        <v>0</v>
      </c>
      <c r="Q16" s="76">
        <f t="shared" si="7"/>
        <v>0</v>
      </c>
      <c r="R16" s="76">
        <f t="shared" si="7"/>
        <v>2997540</v>
      </c>
      <c r="S16" s="76">
        <f t="shared" si="14"/>
        <v>1712880.0000000002</v>
      </c>
      <c r="T16" s="76">
        <f t="shared" si="8"/>
        <v>13274820</v>
      </c>
      <c r="U16" s="76">
        <f t="shared" si="16"/>
        <v>1079114.3999999999</v>
      </c>
      <c r="V16" s="76">
        <f t="shared" si="10"/>
        <v>12195706</v>
      </c>
      <c r="W16" s="77"/>
      <c r="X16" s="78" t="s">
        <v>30</v>
      </c>
      <c r="Y16" s="79">
        <f t="shared" si="0"/>
        <v>1747137.6</v>
      </c>
      <c r="Z16" s="79">
        <f t="shared" si="1"/>
        <v>308318.39999999997</v>
      </c>
      <c r="AA16" s="79">
        <f t="shared" si="2"/>
        <v>102772.8</v>
      </c>
      <c r="AB16" s="79">
        <f t="shared" si="3"/>
        <v>51386.400000000001</v>
      </c>
      <c r="AC16" s="79">
        <f t="shared" si="4"/>
        <v>205545.60000000001</v>
      </c>
      <c r="AD16" s="8">
        <v>1079114.3999999999</v>
      </c>
      <c r="AE16" s="80">
        <f t="shared" si="11"/>
        <v>0</v>
      </c>
    </row>
    <row r="17" spans="1:31" ht="36" customHeight="1">
      <c r="A17" s="65">
        <f t="shared" si="15"/>
        <v>8</v>
      </c>
      <c r="B17" s="81" t="s">
        <v>45</v>
      </c>
      <c r="C17" s="70">
        <v>28546</v>
      </c>
      <c r="D17" s="70" t="s">
        <v>46</v>
      </c>
      <c r="E17" s="72" t="s">
        <v>38</v>
      </c>
      <c r="F17" s="62">
        <v>4.2699999999999996</v>
      </c>
      <c r="G17" s="62"/>
      <c r="H17" s="62"/>
      <c r="I17" s="62"/>
      <c r="J17" s="83">
        <v>0.15</v>
      </c>
      <c r="K17" s="62">
        <f>(F17+H17*F17)*35%</f>
        <v>1.4944999999999997</v>
      </c>
      <c r="L17" s="206">
        <v>0.23</v>
      </c>
      <c r="M17" s="75">
        <f>(F17+H17)*L17</f>
        <v>0.98209999999999997</v>
      </c>
      <c r="N17" s="76">
        <f t="shared" si="5"/>
        <v>9991799.9999999981</v>
      </c>
      <c r="O17" s="76">
        <f t="shared" si="6"/>
        <v>0</v>
      </c>
      <c r="P17" s="76">
        <f>I17*2340000</f>
        <v>0</v>
      </c>
      <c r="Q17" s="76">
        <f t="shared" si="7"/>
        <v>351000</v>
      </c>
      <c r="R17" s="76">
        <f>K17*2340000</f>
        <v>3497129.9999999995</v>
      </c>
      <c r="S17" s="76">
        <f>M17*2340000</f>
        <v>2298114</v>
      </c>
      <c r="T17" s="76">
        <f t="shared" si="8"/>
        <v>16138043.999999998</v>
      </c>
      <c r="U17" s="76">
        <f t="shared" si="16"/>
        <v>1290440.9699999997</v>
      </c>
      <c r="V17" s="76">
        <f t="shared" si="10"/>
        <v>14847603</v>
      </c>
      <c r="W17" s="82" t="s">
        <v>51</v>
      </c>
      <c r="X17" s="78" t="s">
        <v>30</v>
      </c>
      <c r="Y17" s="79">
        <f t="shared" si="0"/>
        <v>2089285.38</v>
      </c>
      <c r="Z17" s="79">
        <f t="shared" si="1"/>
        <v>368697.41999999993</v>
      </c>
      <c r="AA17" s="79">
        <f t="shared" si="2"/>
        <v>122899.13999999998</v>
      </c>
      <c r="AB17" s="79">
        <f t="shared" si="3"/>
        <v>61449.569999999992</v>
      </c>
      <c r="AC17" s="79">
        <f t="shared" si="4"/>
        <v>245798.27999999997</v>
      </c>
      <c r="AD17" s="8">
        <v>1279949.5799999998</v>
      </c>
      <c r="AE17" s="80">
        <f t="shared" si="11"/>
        <v>10491.389999999898</v>
      </c>
    </row>
    <row r="18" spans="1:31" ht="36" customHeight="1">
      <c r="A18" s="65">
        <f t="shared" si="15"/>
        <v>9</v>
      </c>
      <c r="B18" s="81" t="s">
        <v>47</v>
      </c>
      <c r="C18" s="70">
        <v>30127</v>
      </c>
      <c r="D18" s="70" t="s">
        <v>48</v>
      </c>
      <c r="E18" s="72" t="s">
        <v>38</v>
      </c>
      <c r="F18" s="62">
        <v>3.66</v>
      </c>
      <c r="G18" s="62"/>
      <c r="H18" s="62"/>
      <c r="I18" s="62"/>
      <c r="J18" s="83"/>
      <c r="K18" s="62">
        <f t="shared" si="17"/>
        <v>1.2809999999999999</v>
      </c>
      <c r="L18" s="73">
        <v>0.17</v>
      </c>
      <c r="M18" s="75">
        <f t="shared" si="18"/>
        <v>0.62220000000000009</v>
      </c>
      <c r="N18" s="76">
        <f t="shared" si="5"/>
        <v>8564400</v>
      </c>
      <c r="O18" s="76">
        <f t="shared" si="6"/>
        <v>0</v>
      </c>
      <c r="P18" s="76">
        <f t="shared" si="7"/>
        <v>0</v>
      </c>
      <c r="Q18" s="76">
        <f t="shared" si="7"/>
        <v>0</v>
      </c>
      <c r="R18" s="76">
        <f t="shared" si="7"/>
        <v>2997540</v>
      </c>
      <c r="S18" s="76">
        <f t="shared" si="14"/>
        <v>1455948.0000000002</v>
      </c>
      <c r="T18" s="76">
        <f t="shared" si="8"/>
        <v>13017888</v>
      </c>
      <c r="U18" s="76">
        <f t="shared" si="16"/>
        <v>1052136.54</v>
      </c>
      <c r="V18" s="76">
        <f t="shared" si="10"/>
        <v>11965751</v>
      </c>
      <c r="W18" s="77"/>
      <c r="X18" s="78" t="s">
        <v>30</v>
      </c>
      <c r="Y18" s="79">
        <f t="shared" si="0"/>
        <v>1703459.1600000001</v>
      </c>
      <c r="Z18" s="79">
        <f t="shared" si="1"/>
        <v>300610.44</v>
      </c>
      <c r="AA18" s="79">
        <f t="shared" si="2"/>
        <v>100203.48</v>
      </c>
      <c r="AB18" s="79">
        <f t="shared" si="3"/>
        <v>50101.74</v>
      </c>
      <c r="AC18" s="79">
        <f t="shared" si="4"/>
        <v>200406.96</v>
      </c>
      <c r="AD18" s="8">
        <v>1043143.9200000002</v>
      </c>
      <c r="AE18" s="80">
        <f t="shared" si="11"/>
        <v>8992.6199999998789</v>
      </c>
    </row>
    <row r="19" spans="1:31" ht="36" customHeight="1">
      <c r="A19" s="65">
        <f t="shared" si="15"/>
        <v>10</v>
      </c>
      <c r="B19" s="81" t="s">
        <v>49</v>
      </c>
      <c r="C19" s="70">
        <v>28463</v>
      </c>
      <c r="D19" s="70" t="s">
        <v>50</v>
      </c>
      <c r="E19" s="72" t="s">
        <v>38</v>
      </c>
      <c r="F19" s="62">
        <v>3.34</v>
      </c>
      <c r="G19" s="62"/>
      <c r="H19" s="62"/>
      <c r="I19" s="62"/>
      <c r="J19" s="83"/>
      <c r="K19" s="62">
        <f t="shared" si="17"/>
        <v>1.1689999999999998</v>
      </c>
      <c r="L19" s="73">
        <v>0.14000000000000001</v>
      </c>
      <c r="M19" s="75">
        <f t="shared" si="18"/>
        <v>0.46760000000000002</v>
      </c>
      <c r="N19" s="76">
        <f t="shared" si="5"/>
        <v>7815600</v>
      </c>
      <c r="O19" s="76">
        <f t="shared" si="6"/>
        <v>0</v>
      </c>
      <c r="P19" s="76">
        <f t="shared" si="7"/>
        <v>0</v>
      </c>
      <c r="Q19" s="76">
        <f t="shared" si="7"/>
        <v>0</v>
      </c>
      <c r="R19" s="76">
        <f t="shared" si="7"/>
        <v>2735459.9999999995</v>
      </c>
      <c r="S19" s="76">
        <f t="shared" si="14"/>
        <v>1094184</v>
      </c>
      <c r="T19" s="76">
        <f t="shared" si="8"/>
        <v>11645244</v>
      </c>
      <c r="U19" s="76">
        <f t="shared" si="16"/>
        <v>935527.32</v>
      </c>
      <c r="V19" s="76">
        <f t="shared" si="10"/>
        <v>10709717</v>
      </c>
      <c r="W19" s="82"/>
      <c r="X19" s="78" t="s">
        <v>30</v>
      </c>
      <c r="Y19" s="79">
        <f t="shared" si="0"/>
        <v>1514663.28</v>
      </c>
      <c r="Z19" s="79">
        <f t="shared" si="1"/>
        <v>267293.52</v>
      </c>
      <c r="AA19" s="79">
        <f t="shared" si="2"/>
        <v>89097.84</v>
      </c>
      <c r="AB19" s="79">
        <f t="shared" si="3"/>
        <v>44548.92</v>
      </c>
      <c r="AC19" s="79">
        <f t="shared" si="4"/>
        <v>178195.68</v>
      </c>
      <c r="AD19" s="8">
        <v>927320.94</v>
      </c>
      <c r="AE19" s="80">
        <f t="shared" si="11"/>
        <v>8206.3800000000047</v>
      </c>
    </row>
    <row r="20" spans="1:31" ht="36" customHeight="1">
      <c r="A20" s="65">
        <f t="shared" si="15"/>
        <v>11</v>
      </c>
      <c r="B20" s="81" t="s">
        <v>52</v>
      </c>
      <c r="C20" s="70">
        <v>30592</v>
      </c>
      <c r="D20" s="70" t="s">
        <v>53</v>
      </c>
      <c r="E20" s="72" t="s">
        <v>38</v>
      </c>
      <c r="F20" s="62">
        <v>3.99</v>
      </c>
      <c r="G20" s="62"/>
      <c r="H20" s="62"/>
      <c r="I20" s="62"/>
      <c r="J20" s="83">
        <v>0.2</v>
      </c>
      <c r="K20" s="62">
        <f t="shared" si="17"/>
        <v>1.3965000000000001</v>
      </c>
      <c r="L20" s="73">
        <v>0.19</v>
      </c>
      <c r="M20" s="75">
        <f t="shared" si="18"/>
        <v>0.7581</v>
      </c>
      <c r="N20" s="76">
        <f t="shared" si="5"/>
        <v>9336600</v>
      </c>
      <c r="O20" s="76">
        <f t="shared" si="6"/>
        <v>0</v>
      </c>
      <c r="P20" s="76">
        <f t="shared" si="7"/>
        <v>0</v>
      </c>
      <c r="Q20" s="76">
        <f>J20*2340000</f>
        <v>468000</v>
      </c>
      <c r="R20" s="76">
        <f t="shared" si="7"/>
        <v>3267810</v>
      </c>
      <c r="S20" s="76">
        <f t="shared" si="14"/>
        <v>1773954</v>
      </c>
      <c r="T20" s="76">
        <f t="shared" si="8"/>
        <v>14846364</v>
      </c>
      <c r="U20" s="76">
        <f t="shared" si="16"/>
        <v>1166608.17</v>
      </c>
      <c r="V20" s="76">
        <f t="shared" si="10"/>
        <v>13679756</v>
      </c>
      <c r="W20" s="77"/>
      <c r="X20" s="78" t="s">
        <v>30</v>
      </c>
      <c r="Y20" s="79">
        <f t="shared" si="0"/>
        <v>1888794.1800000002</v>
      </c>
      <c r="Z20" s="79">
        <f t="shared" si="1"/>
        <v>333316.62</v>
      </c>
      <c r="AA20" s="79">
        <f t="shared" si="2"/>
        <v>111105.54000000001</v>
      </c>
      <c r="AB20" s="79">
        <f t="shared" si="3"/>
        <v>55552.770000000004</v>
      </c>
      <c r="AC20" s="79">
        <f t="shared" si="4"/>
        <v>222211.08000000002</v>
      </c>
      <c r="AD20" s="8">
        <v>1166608.17</v>
      </c>
      <c r="AE20" s="80">
        <f t="shared" si="11"/>
        <v>0</v>
      </c>
    </row>
    <row r="21" spans="1:31" s="2" customFormat="1" ht="36" customHeight="1">
      <c r="A21" s="65">
        <f t="shared" si="15"/>
        <v>12</v>
      </c>
      <c r="B21" s="81" t="s">
        <v>54</v>
      </c>
      <c r="C21" s="70">
        <v>30916</v>
      </c>
      <c r="D21" s="70" t="s">
        <v>55</v>
      </c>
      <c r="E21" s="85" t="s">
        <v>38</v>
      </c>
      <c r="F21" s="86">
        <v>3.65</v>
      </c>
      <c r="G21" s="86"/>
      <c r="H21" s="81"/>
      <c r="I21" s="81"/>
      <c r="J21" s="87"/>
      <c r="K21" s="62">
        <f t="shared" si="17"/>
        <v>1.2774999999999999</v>
      </c>
      <c r="L21" s="88">
        <v>0.18</v>
      </c>
      <c r="M21" s="75">
        <f t="shared" si="18"/>
        <v>0.65699999999999992</v>
      </c>
      <c r="N21" s="76">
        <f t="shared" si="5"/>
        <v>8541000</v>
      </c>
      <c r="O21" s="76">
        <f t="shared" si="6"/>
        <v>0</v>
      </c>
      <c r="P21" s="76">
        <f t="shared" si="7"/>
        <v>0</v>
      </c>
      <c r="Q21" s="76">
        <f t="shared" si="7"/>
        <v>0</v>
      </c>
      <c r="R21" s="76">
        <f t="shared" si="7"/>
        <v>2989349.9999999995</v>
      </c>
      <c r="S21" s="76">
        <f t="shared" si="14"/>
        <v>1537379.9999999998</v>
      </c>
      <c r="T21" s="76">
        <f t="shared" si="8"/>
        <v>13067730</v>
      </c>
      <c r="U21" s="76">
        <f>(N21+O21+S21)*10.5%</f>
        <v>1058229.8999999999</v>
      </c>
      <c r="V21" s="76">
        <f t="shared" si="10"/>
        <v>12009500</v>
      </c>
      <c r="W21" s="77"/>
      <c r="X21" s="78"/>
      <c r="Y21" s="79">
        <f t="shared" si="0"/>
        <v>1713324.6</v>
      </c>
      <c r="Z21" s="79">
        <f t="shared" si="1"/>
        <v>302351.39999999997</v>
      </c>
      <c r="AA21" s="79">
        <f t="shared" si="2"/>
        <v>100783.8</v>
      </c>
      <c r="AB21" s="79">
        <f t="shared" si="3"/>
        <v>50391.9</v>
      </c>
      <c r="AC21" s="79">
        <f t="shared" si="4"/>
        <v>201567.6</v>
      </c>
      <c r="AD21" s="89">
        <v>1058229.8999999997</v>
      </c>
      <c r="AE21" s="80">
        <f t="shared" si="11"/>
        <v>0</v>
      </c>
    </row>
    <row r="22" spans="1:31" ht="36" customHeight="1">
      <c r="A22" s="65">
        <f t="shared" si="15"/>
        <v>13</v>
      </c>
      <c r="B22" s="90" t="s">
        <v>56</v>
      </c>
      <c r="C22" s="70">
        <v>29967</v>
      </c>
      <c r="D22" s="70" t="s">
        <v>57</v>
      </c>
      <c r="E22" s="72" t="s">
        <v>38</v>
      </c>
      <c r="F22" s="62">
        <v>3.66</v>
      </c>
      <c r="G22" s="62"/>
      <c r="H22" s="62"/>
      <c r="I22" s="62"/>
      <c r="J22" s="83">
        <v>0.2</v>
      </c>
      <c r="K22" s="62">
        <f t="shared" si="17"/>
        <v>1.2809999999999999</v>
      </c>
      <c r="L22" s="73">
        <v>0.19</v>
      </c>
      <c r="M22" s="75">
        <f t="shared" si="18"/>
        <v>0.69540000000000002</v>
      </c>
      <c r="N22" s="76">
        <f t="shared" si="5"/>
        <v>8564400</v>
      </c>
      <c r="O22" s="76">
        <f t="shared" si="6"/>
        <v>0</v>
      </c>
      <c r="P22" s="76">
        <f t="shared" si="7"/>
        <v>0</v>
      </c>
      <c r="Q22" s="76">
        <f t="shared" si="7"/>
        <v>468000</v>
      </c>
      <c r="R22" s="76">
        <f t="shared" si="7"/>
        <v>2997540</v>
      </c>
      <c r="S22" s="76">
        <f t="shared" si="14"/>
        <v>1627236</v>
      </c>
      <c r="T22" s="76">
        <f t="shared" si="8"/>
        <v>13657176</v>
      </c>
      <c r="U22" s="76">
        <f t="shared" si="16"/>
        <v>1070121.78</v>
      </c>
      <c r="V22" s="76">
        <f t="shared" si="10"/>
        <v>12587054</v>
      </c>
      <c r="W22" s="77"/>
      <c r="X22" s="78"/>
      <c r="Y22" s="79">
        <f t="shared" si="0"/>
        <v>1732578.12</v>
      </c>
      <c r="Z22" s="79">
        <f t="shared" si="1"/>
        <v>305749.08</v>
      </c>
      <c r="AA22" s="79">
        <f t="shared" si="2"/>
        <v>101916.36</v>
      </c>
      <c r="AB22" s="79">
        <f t="shared" si="3"/>
        <v>50958.18</v>
      </c>
      <c r="AC22" s="79">
        <f t="shared" si="4"/>
        <v>203832.72</v>
      </c>
      <c r="AD22" s="8">
        <v>1070121.78</v>
      </c>
      <c r="AE22" s="80">
        <f t="shared" si="11"/>
        <v>0</v>
      </c>
    </row>
    <row r="23" spans="1:31" ht="36" customHeight="1">
      <c r="A23" s="65">
        <f>A22+1</f>
        <v>14</v>
      </c>
      <c r="B23" s="81" t="s">
        <v>58</v>
      </c>
      <c r="C23" s="70">
        <v>27778</v>
      </c>
      <c r="D23" s="70" t="s">
        <v>59</v>
      </c>
      <c r="E23" s="72" t="s">
        <v>38</v>
      </c>
      <c r="F23" s="62">
        <v>3.66</v>
      </c>
      <c r="G23" s="62"/>
      <c r="H23" s="62"/>
      <c r="I23" s="62"/>
      <c r="J23" s="83"/>
      <c r="K23" s="62">
        <f t="shared" si="17"/>
        <v>1.2809999999999999</v>
      </c>
      <c r="L23" s="73">
        <v>0.18</v>
      </c>
      <c r="M23" s="75">
        <f t="shared" si="18"/>
        <v>0.65880000000000005</v>
      </c>
      <c r="N23" s="76">
        <f t="shared" si="5"/>
        <v>8564400</v>
      </c>
      <c r="O23" s="76">
        <f t="shared" si="6"/>
        <v>0</v>
      </c>
      <c r="P23" s="76">
        <f t="shared" si="7"/>
        <v>0</v>
      </c>
      <c r="Q23" s="76">
        <f t="shared" si="7"/>
        <v>0</v>
      </c>
      <c r="R23" s="76">
        <f t="shared" si="7"/>
        <v>2997540</v>
      </c>
      <c r="S23" s="76">
        <f t="shared" si="14"/>
        <v>1541592.0000000002</v>
      </c>
      <c r="T23" s="76">
        <f t="shared" si="8"/>
        <v>13103532</v>
      </c>
      <c r="U23" s="76">
        <f t="shared" si="16"/>
        <v>1061129.1599999999</v>
      </c>
      <c r="V23" s="76">
        <f t="shared" si="10"/>
        <v>12042403</v>
      </c>
      <c r="W23" s="77"/>
      <c r="X23" s="78"/>
      <c r="Y23" s="79">
        <f t="shared" si="0"/>
        <v>1718018.6400000001</v>
      </c>
      <c r="Z23" s="79">
        <f t="shared" si="1"/>
        <v>303179.76</v>
      </c>
      <c r="AA23" s="79">
        <f t="shared" si="2"/>
        <v>101059.92</v>
      </c>
      <c r="AB23" s="79">
        <f t="shared" si="3"/>
        <v>50529.96</v>
      </c>
      <c r="AC23" s="79">
        <f t="shared" si="4"/>
        <v>202119.84</v>
      </c>
      <c r="AD23" s="8">
        <v>1061129.1600000001</v>
      </c>
      <c r="AE23" s="80">
        <f t="shared" si="11"/>
        <v>0</v>
      </c>
    </row>
    <row r="24" spans="1:31" ht="36" customHeight="1">
      <c r="A24" s="65">
        <f t="shared" si="15"/>
        <v>15</v>
      </c>
      <c r="B24" s="81" t="s">
        <v>60</v>
      </c>
      <c r="C24" s="70">
        <v>26331</v>
      </c>
      <c r="D24" s="70" t="s">
        <v>61</v>
      </c>
      <c r="E24" s="72" t="s">
        <v>38</v>
      </c>
      <c r="F24" s="62">
        <v>3.66</v>
      </c>
      <c r="G24" s="62"/>
      <c r="H24" s="62"/>
      <c r="I24" s="62"/>
      <c r="J24" s="83"/>
      <c r="K24" s="62">
        <f t="shared" si="17"/>
        <v>1.2809999999999999</v>
      </c>
      <c r="L24" s="73">
        <v>0.22</v>
      </c>
      <c r="M24" s="75">
        <f>(F24+H24)*L24</f>
        <v>0.80520000000000003</v>
      </c>
      <c r="N24" s="76">
        <f t="shared" si="5"/>
        <v>8564400</v>
      </c>
      <c r="O24" s="76">
        <f t="shared" si="6"/>
        <v>0</v>
      </c>
      <c r="P24" s="76">
        <f t="shared" si="7"/>
        <v>0</v>
      </c>
      <c r="Q24" s="76">
        <f t="shared" si="7"/>
        <v>0</v>
      </c>
      <c r="R24" s="76">
        <f t="shared" si="7"/>
        <v>2997540</v>
      </c>
      <c r="S24" s="76">
        <f t="shared" si="14"/>
        <v>1884168</v>
      </c>
      <c r="T24" s="76">
        <f t="shared" si="8"/>
        <v>13446108</v>
      </c>
      <c r="U24" s="76">
        <f t="shared" si="16"/>
        <v>1097099.6399999999</v>
      </c>
      <c r="V24" s="76">
        <f t="shared" si="10"/>
        <v>12349008</v>
      </c>
      <c r="W24" s="77"/>
      <c r="X24" s="78" t="s">
        <v>30</v>
      </c>
      <c r="Y24" s="79">
        <f t="shared" si="0"/>
        <v>1776256.56</v>
      </c>
      <c r="Z24" s="79">
        <f t="shared" si="1"/>
        <v>313457.03999999998</v>
      </c>
      <c r="AA24" s="79">
        <f t="shared" si="2"/>
        <v>104485.68000000001</v>
      </c>
      <c r="AB24" s="79">
        <f t="shared" si="3"/>
        <v>52242.840000000004</v>
      </c>
      <c r="AC24" s="79">
        <f t="shared" si="4"/>
        <v>208971.36000000002</v>
      </c>
      <c r="AD24" s="8">
        <v>1088107.02</v>
      </c>
      <c r="AE24" s="80">
        <f t="shared" si="11"/>
        <v>8992.6199999998789</v>
      </c>
    </row>
    <row r="25" spans="1:31" ht="36" customHeight="1">
      <c r="A25" s="65">
        <f t="shared" si="15"/>
        <v>16</v>
      </c>
      <c r="B25" s="81" t="s">
        <v>62</v>
      </c>
      <c r="C25" s="70">
        <v>31234</v>
      </c>
      <c r="D25" s="70" t="s">
        <v>63</v>
      </c>
      <c r="E25" s="72" t="s">
        <v>38</v>
      </c>
      <c r="F25" s="62">
        <v>3.66</v>
      </c>
      <c r="G25" s="62"/>
      <c r="H25" s="62"/>
      <c r="I25" s="62"/>
      <c r="J25" s="83"/>
      <c r="K25" s="62">
        <f t="shared" si="17"/>
        <v>1.2809999999999999</v>
      </c>
      <c r="L25" s="73">
        <v>0.15</v>
      </c>
      <c r="M25" s="75">
        <f t="shared" si="18"/>
        <v>0.54900000000000004</v>
      </c>
      <c r="N25" s="76">
        <f t="shared" si="5"/>
        <v>8564400</v>
      </c>
      <c r="O25" s="76">
        <f t="shared" si="6"/>
        <v>0</v>
      </c>
      <c r="P25" s="76">
        <f t="shared" si="7"/>
        <v>0</v>
      </c>
      <c r="Q25" s="76">
        <f t="shared" si="7"/>
        <v>0</v>
      </c>
      <c r="R25" s="76">
        <f t="shared" si="7"/>
        <v>2997540</v>
      </c>
      <c r="S25" s="76">
        <f t="shared" si="14"/>
        <v>1284660</v>
      </c>
      <c r="T25" s="76">
        <f t="shared" si="8"/>
        <v>12846600</v>
      </c>
      <c r="U25" s="76">
        <f t="shared" si="16"/>
        <v>1034151.2999999999</v>
      </c>
      <c r="V25" s="76">
        <f t="shared" si="10"/>
        <v>11812449</v>
      </c>
      <c r="W25" s="82"/>
      <c r="X25" s="78"/>
      <c r="Y25" s="79">
        <f t="shared" si="0"/>
        <v>1674340.2000000002</v>
      </c>
      <c r="Z25" s="79">
        <f t="shared" si="1"/>
        <v>295471.8</v>
      </c>
      <c r="AA25" s="79">
        <f t="shared" si="2"/>
        <v>98490.6</v>
      </c>
      <c r="AB25" s="79">
        <f t="shared" si="3"/>
        <v>49245.3</v>
      </c>
      <c r="AC25" s="79">
        <f t="shared" si="4"/>
        <v>196981.2</v>
      </c>
      <c r="AD25" s="8">
        <v>1034151.3000000002</v>
      </c>
      <c r="AE25" s="80">
        <f t="shared" si="11"/>
        <v>0</v>
      </c>
    </row>
    <row r="26" spans="1:31" ht="36" customHeight="1">
      <c r="A26" s="65">
        <f t="shared" si="15"/>
        <v>17</v>
      </c>
      <c r="B26" s="81" t="s">
        <v>64</v>
      </c>
      <c r="C26" s="70">
        <v>31860</v>
      </c>
      <c r="D26" s="70" t="s">
        <v>65</v>
      </c>
      <c r="E26" s="72" t="s">
        <v>38</v>
      </c>
      <c r="F26" s="62">
        <v>3.65</v>
      </c>
      <c r="G26" s="62"/>
      <c r="H26" s="62"/>
      <c r="I26" s="62"/>
      <c r="J26" s="83"/>
      <c r="K26" s="62">
        <f t="shared" si="17"/>
        <v>1.2774999999999999</v>
      </c>
      <c r="L26" s="73">
        <v>0.16</v>
      </c>
      <c r="M26" s="75">
        <f t="shared" si="18"/>
        <v>0.58399999999999996</v>
      </c>
      <c r="N26" s="76">
        <f t="shared" si="5"/>
        <v>8541000</v>
      </c>
      <c r="O26" s="76">
        <f t="shared" si="6"/>
        <v>0</v>
      </c>
      <c r="P26" s="76">
        <f t="shared" si="7"/>
        <v>0</v>
      </c>
      <c r="Q26" s="76">
        <f t="shared" si="7"/>
        <v>0</v>
      </c>
      <c r="R26" s="76">
        <f t="shared" si="7"/>
        <v>2989349.9999999995</v>
      </c>
      <c r="S26" s="76">
        <f t="shared" si="14"/>
        <v>1366560</v>
      </c>
      <c r="T26" s="76">
        <f t="shared" si="8"/>
        <v>12896910</v>
      </c>
      <c r="U26" s="76">
        <f t="shared" si="16"/>
        <v>1040293.7999999999</v>
      </c>
      <c r="V26" s="76">
        <f t="shared" si="10"/>
        <v>11856616</v>
      </c>
      <c r="W26" s="82"/>
      <c r="X26" s="78"/>
      <c r="Y26" s="79">
        <f t="shared" si="0"/>
        <v>1684285.2000000002</v>
      </c>
      <c r="Z26" s="79">
        <f t="shared" si="1"/>
        <v>297226.8</v>
      </c>
      <c r="AA26" s="79">
        <f t="shared" si="2"/>
        <v>99075.6</v>
      </c>
      <c r="AB26" s="79">
        <f t="shared" si="3"/>
        <v>49537.8</v>
      </c>
      <c r="AC26" s="79">
        <f t="shared" si="4"/>
        <v>198151.2</v>
      </c>
      <c r="AD26" s="8">
        <v>1040293.7999999999</v>
      </c>
      <c r="AE26" s="80">
        <f t="shared" si="11"/>
        <v>0</v>
      </c>
    </row>
    <row r="27" spans="1:31" ht="36" customHeight="1">
      <c r="A27" s="65">
        <f t="shared" si="15"/>
        <v>18</v>
      </c>
      <c r="B27" s="81" t="s">
        <v>66</v>
      </c>
      <c r="C27" s="70">
        <v>30175</v>
      </c>
      <c r="D27" s="70" t="s">
        <v>67</v>
      </c>
      <c r="E27" s="72" t="s">
        <v>38</v>
      </c>
      <c r="F27" s="62">
        <v>3.66</v>
      </c>
      <c r="G27" s="62"/>
      <c r="H27" s="62"/>
      <c r="I27" s="62"/>
      <c r="J27" s="83"/>
      <c r="K27" s="62">
        <f t="shared" si="17"/>
        <v>1.2809999999999999</v>
      </c>
      <c r="L27" s="73">
        <v>0.19</v>
      </c>
      <c r="M27" s="75">
        <f t="shared" si="18"/>
        <v>0.69540000000000002</v>
      </c>
      <c r="N27" s="76">
        <f t="shared" si="5"/>
        <v>8564400</v>
      </c>
      <c r="O27" s="76">
        <f t="shared" si="6"/>
        <v>0</v>
      </c>
      <c r="P27" s="76">
        <f t="shared" si="7"/>
        <v>0</v>
      </c>
      <c r="Q27" s="76">
        <f t="shared" si="7"/>
        <v>0</v>
      </c>
      <c r="R27" s="76">
        <f t="shared" si="7"/>
        <v>2997540</v>
      </c>
      <c r="S27" s="76">
        <f t="shared" si="14"/>
        <v>1627236</v>
      </c>
      <c r="T27" s="76">
        <f t="shared" si="8"/>
        <v>13189176</v>
      </c>
      <c r="U27" s="76">
        <f t="shared" si="16"/>
        <v>1070121.78</v>
      </c>
      <c r="V27" s="76">
        <f t="shared" si="10"/>
        <v>12119054</v>
      </c>
      <c r="W27" s="77"/>
      <c r="X27" s="78"/>
      <c r="Y27" s="79">
        <f t="shared" si="0"/>
        <v>1732578.12</v>
      </c>
      <c r="Z27" s="79">
        <f t="shared" si="1"/>
        <v>305749.08</v>
      </c>
      <c r="AA27" s="79">
        <f t="shared" si="2"/>
        <v>101916.36</v>
      </c>
      <c r="AB27" s="79">
        <f t="shared" si="3"/>
        <v>50958.18</v>
      </c>
      <c r="AC27" s="79">
        <f t="shared" si="4"/>
        <v>203832.72</v>
      </c>
      <c r="AD27" s="8">
        <v>1070121.78</v>
      </c>
      <c r="AE27" s="80">
        <f t="shared" si="11"/>
        <v>0</v>
      </c>
    </row>
    <row r="28" spans="1:31" ht="36" customHeight="1">
      <c r="A28" s="65">
        <f>A27+1</f>
        <v>19</v>
      </c>
      <c r="B28" s="81" t="s">
        <v>68</v>
      </c>
      <c r="C28" s="70">
        <v>27339</v>
      </c>
      <c r="D28" s="70" t="s">
        <v>69</v>
      </c>
      <c r="E28" s="72" t="s">
        <v>38</v>
      </c>
      <c r="F28" s="62">
        <v>3.33</v>
      </c>
      <c r="G28" s="62"/>
      <c r="H28" s="62"/>
      <c r="I28" s="62"/>
      <c r="J28" s="83"/>
      <c r="K28" s="62">
        <f t="shared" si="17"/>
        <v>1.1655</v>
      </c>
      <c r="L28" s="206">
        <v>0.12</v>
      </c>
      <c r="M28" s="75">
        <f t="shared" si="18"/>
        <v>0.39960000000000001</v>
      </c>
      <c r="N28" s="76">
        <f t="shared" si="5"/>
        <v>7792200</v>
      </c>
      <c r="O28" s="76">
        <f t="shared" si="6"/>
        <v>0</v>
      </c>
      <c r="P28" s="76">
        <f t="shared" si="7"/>
        <v>0</v>
      </c>
      <c r="Q28" s="76">
        <f t="shared" si="7"/>
        <v>0</v>
      </c>
      <c r="R28" s="76">
        <f t="shared" si="7"/>
        <v>2727270</v>
      </c>
      <c r="S28" s="76">
        <f t="shared" si="14"/>
        <v>935064</v>
      </c>
      <c r="T28" s="76">
        <f t="shared" si="8"/>
        <v>11454534</v>
      </c>
      <c r="U28" s="76">
        <f t="shared" si="16"/>
        <v>916362.72</v>
      </c>
      <c r="V28" s="76">
        <f t="shared" si="10"/>
        <v>10538171</v>
      </c>
      <c r="W28" s="82" t="s">
        <v>51</v>
      </c>
      <c r="X28" s="78" t="s">
        <v>30</v>
      </c>
      <c r="Y28" s="79">
        <f t="shared" si="0"/>
        <v>1483634.8800000001</v>
      </c>
      <c r="Z28" s="79">
        <f t="shared" si="1"/>
        <v>261817.91999999998</v>
      </c>
      <c r="AA28" s="79">
        <f t="shared" si="2"/>
        <v>87272.639999999999</v>
      </c>
      <c r="AB28" s="79">
        <f t="shared" si="3"/>
        <v>43636.32</v>
      </c>
      <c r="AC28" s="79">
        <f t="shared" si="4"/>
        <v>174545.28</v>
      </c>
      <c r="AD28" s="8">
        <v>908180.90999999992</v>
      </c>
      <c r="AE28" s="80">
        <f t="shared" si="11"/>
        <v>8181.8100000000559</v>
      </c>
    </row>
    <row r="29" spans="1:31" ht="36" customHeight="1">
      <c r="A29" s="65">
        <f t="shared" si="15"/>
        <v>20</v>
      </c>
      <c r="B29" s="81" t="s">
        <v>70</v>
      </c>
      <c r="C29" s="70">
        <v>30761</v>
      </c>
      <c r="D29" s="70" t="s">
        <v>71</v>
      </c>
      <c r="E29" s="72" t="s">
        <v>38</v>
      </c>
      <c r="F29" s="62">
        <v>3.33</v>
      </c>
      <c r="G29" s="62"/>
      <c r="H29" s="62"/>
      <c r="I29" s="62"/>
      <c r="J29" s="83"/>
      <c r="K29" s="62">
        <f t="shared" si="17"/>
        <v>1.1655</v>
      </c>
      <c r="L29" s="206">
        <v>0.12</v>
      </c>
      <c r="M29" s="75">
        <f t="shared" si="18"/>
        <v>0.39960000000000001</v>
      </c>
      <c r="N29" s="76">
        <f t="shared" si="5"/>
        <v>7792200</v>
      </c>
      <c r="O29" s="76">
        <f t="shared" si="6"/>
        <v>0</v>
      </c>
      <c r="P29" s="76">
        <f t="shared" si="7"/>
        <v>0</v>
      </c>
      <c r="Q29" s="76">
        <f t="shared" si="7"/>
        <v>0</v>
      </c>
      <c r="R29" s="76">
        <f t="shared" si="7"/>
        <v>2727270</v>
      </c>
      <c r="S29" s="76">
        <f t="shared" si="14"/>
        <v>935064</v>
      </c>
      <c r="T29" s="76">
        <f t="shared" si="8"/>
        <v>11454534</v>
      </c>
      <c r="U29" s="76">
        <f t="shared" si="16"/>
        <v>916362.72</v>
      </c>
      <c r="V29" s="76">
        <f t="shared" si="10"/>
        <v>10538171</v>
      </c>
      <c r="W29" s="82" t="s">
        <v>51</v>
      </c>
      <c r="X29" s="78"/>
      <c r="Y29" s="79">
        <f t="shared" si="0"/>
        <v>1483634.8800000001</v>
      </c>
      <c r="Z29" s="79">
        <f t="shared" si="1"/>
        <v>261817.91999999998</v>
      </c>
      <c r="AA29" s="79">
        <f t="shared" si="2"/>
        <v>87272.639999999999</v>
      </c>
      <c r="AB29" s="79">
        <f t="shared" si="3"/>
        <v>43636.32</v>
      </c>
      <c r="AC29" s="79">
        <f t="shared" si="4"/>
        <v>174545.28</v>
      </c>
      <c r="AD29" s="8">
        <v>908180.90999999992</v>
      </c>
      <c r="AE29" s="80">
        <f t="shared" si="11"/>
        <v>8181.8100000000559</v>
      </c>
    </row>
    <row r="30" spans="1:31" ht="36" customHeight="1">
      <c r="A30" s="65">
        <f t="shared" si="15"/>
        <v>21</v>
      </c>
      <c r="B30" s="81" t="s">
        <v>72</v>
      </c>
      <c r="C30" s="70">
        <v>33562</v>
      </c>
      <c r="D30" s="70" t="s">
        <v>73</v>
      </c>
      <c r="E30" s="72" t="s">
        <v>38</v>
      </c>
      <c r="F30" s="62">
        <v>3.03</v>
      </c>
      <c r="G30" s="62"/>
      <c r="H30" s="62"/>
      <c r="I30" s="62"/>
      <c r="J30" s="83"/>
      <c r="K30" s="62">
        <f t="shared" si="17"/>
        <v>1.0604999999999998</v>
      </c>
      <c r="L30" s="73">
        <v>0.11</v>
      </c>
      <c r="M30" s="75">
        <f t="shared" si="18"/>
        <v>0.33329999999999999</v>
      </c>
      <c r="N30" s="76">
        <f t="shared" si="5"/>
        <v>7090200</v>
      </c>
      <c r="O30" s="76">
        <f t="shared" si="6"/>
        <v>0</v>
      </c>
      <c r="P30" s="76">
        <f t="shared" si="7"/>
        <v>0</v>
      </c>
      <c r="Q30" s="76">
        <f t="shared" si="7"/>
        <v>0</v>
      </c>
      <c r="R30" s="76">
        <f t="shared" si="7"/>
        <v>2481569.9999999995</v>
      </c>
      <c r="S30" s="76">
        <f t="shared" si="14"/>
        <v>779922</v>
      </c>
      <c r="T30" s="76">
        <f t="shared" si="8"/>
        <v>10351692</v>
      </c>
      <c r="U30" s="76">
        <f t="shared" si="16"/>
        <v>826362.80999999994</v>
      </c>
      <c r="V30" s="76">
        <f t="shared" si="10"/>
        <v>9525329</v>
      </c>
      <c r="W30" s="82"/>
      <c r="X30" s="78"/>
      <c r="Y30" s="79">
        <f t="shared" si="0"/>
        <v>1337920.74</v>
      </c>
      <c r="Z30" s="79">
        <f t="shared" si="1"/>
        <v>236103.66</v>
      </c>
      <c r="AA30" s="79">
        <f t="shared" si="2"/>
        <v>78701.22</v>
      </c>
      <c r="AB30" s="79">
        <f t="shared" si="3"/>
        <v>39350.61</v>
      </c>
      <c r="AC30" s="79">
        <f t="shared" si="4"/>
        <v>157402.44</v>
      </c>
      <c r="AD30" s="8">
        <v>818918.09999999986</v>
      </c>
      <c r="AE30" s="80">
        <f t="shared" si="11"/>
        <v>7444.7100000000792</v>
      </c>
    </row>
    <row r="31" spans="1:31" ht="36" customHeight="1">
      <c r="A31" s="65">
        <f t="shared" si="15"/>
        <v>22</v>
      </c>
      <c r="B31" s="81" t="s">
        <v>74</v>
      </c>
      <c r="C31" s="70">
        <v>33542</v>
      </c>
      <c r="D31" s="70" t="s">
        <v>75</v>
      </c>
      <c r="E31" s="72" t="s">
        <v>38</v>
      </c>
      <c r="F31" s="62">
        <v>3.33</v>
      </c>
      <c r="G31" s="62"/>
      <c r="H31" s="62"/>
      <c r="I31" s="62"/>
      <c r="J31" s="83">
        <v>0.15</v>
      </c>
      <c r="K31" s="62">
        <f t="shared" si="17"/>
        <v>1.1655</v>
      </c>
      <c r="L31" s="73">
        <v>0.11</v>
      </c>
      <c r="M31" s="75">
        <f t="shared" si="18"/>
        <v>0.36630000000000001</v>
      </c>
      <c r="N31" s="76">
        <f t="shared" si="5"/>
        <v>7792200</v>
      </c>
      <c r="O31" s="76">
        <f t="shared" si="6"/>
        <v>0</v>
      </c>
      <c r="P31" s="76">
        <f t="shared" si="7"/>
        <v>0</v>
      </c>
      <c r="Q31" s="76">
        <f t="shared" si="7"/>
        <v>351000</v>
      </c>
      <c r="R31" s="76">
        <f t="shared" si="7"/>
        <v>2727270</v>
      </c>
      <c r="S31" s="76">
        <f t="shared" si="14"/>
        <v>857142</v>
      </c>
      <c r="T31" s="76">
        <f t="shared" si="8"/>
        <v>11727612</v>
      </c>
      <c r="U31" s="76">
        <f t="shared" si="16"/>
        <v>908180.90999999992</v>
      </c>
      <c r="V31" s="76">
        <f t="shared" si="10"/>
        <v>10819431</v>
      </c>
      <c r="W31" s="77"/>
      <c r="X31" s="78" t="s">
        <v>30</v>
      </c>
      <c r="Y31" s="79">
        <f t="shared" si="0"/>
        <v>1470388.1400000001</v>
      </c>
      <c r="Z31" s="79">
        <f t="shared" si="1"/>
        <v>259480.25999999998</v>
      </c>
      <c r="AA31" s="79">
        <f t="shared" si="2"/>
        <v>86493.42</v>
      </c>
      <c r="AB31" s="79">
        <f t="shared" si="3"/>
        <v>43246.71</v>
      </c>
      <c r="AC31" s="79">
        <f t="shared" si="4"/>
        <v>172986.84</v>
      </c>
      <c r="AD31" s="8">
        <v>899999.1</v>
      </c>
      <c r="AE31" s="80">
        <f t="shared" si="11"/>
        <v>8181.8099999999395</v>
      </c>
    </row>
    <row r="32" spans="1:31" ht="36" customHeight="1">
      <c r="A32" s="65">
        <f t="shared" si="15"/>
        <v>23</v>
      </c>
      <c r="B32" s="81" t="s">
        <v>76</v>
      </c>
      <c r="C32" s="70">
        <v>34209</v>
      </c>
      <c r="D32" s="70" t="s">
        <v>77</v>
      </c>
      <c r="E32" s="72" t="s">
        <v>38</v>
      </c>
      <c r="F32" s="62">
        <v>3.33</v>
      </c>
      <c r="G32" s="62"/>
      <c r="H32" s="62"/>
      <c r="I32" s="62"/>
      <c r="J32" s="83"/>
      <c r="K32" s="62">
        <f t="shared" si="17"/>
        <v>1.1655</v>
      </c>
      <c r="L32" s="73">
        <v>0.1</v>
      </c>
      <c r="M32" s="75">
        <f t="shared" si="18"/>
        <v>0.33300000000000002</v>
      </c>
      <c r="N32" s="76">
        <f t="shared" si="5"/>
        <v>7792200</v>
      </c>
      <c r="O32" s="76">
        <f t="shared" si="6"/>
        <v>0</v>
      </c>
      <c r="P32" s="76">
        <f t="shared" si="7"/>
        <v>0</v>
      </c>
      <c r="Q32" s="76">
        <f t="shared" si="7"/>
        <v>0</v>
      </c>
      <c r="R32" s="76">
        <f t="shared" si="7"/>
        <v>2727270</v>
      </c>
      <c r="S32" s="76">
        <f t="shared" si="14"/>
        <v>779220</v>
      </c>
      <c r="T32" s="76">
        <f t="shared" si="8"/>
        <v>11298690</v>
      </c>
      <c r="U32" s="76">
        <f t="shared" si="16"/>
        <v>899999.1</v>
      </c>
      <c r="V32" s="76">
        <f t="shared" si="10"/>
        <v>10398691</v>
      </c>
      <c r="W32" s="82"/>
      <c r="X32" s="78"/>
      <c r="Y32" s="79">
        <f t="shared" si="0"/>
        <v>1457141.4000000001</v>
      </c>
      <c r="Z32" s="79">
        <f t="shared" si="1"/>
        <v>257142.59999999998</v>
      </c>
      <c r="AA32" s="79">
        <f t="shared" si="2"/>
        <v>85714.2</v>
      </c>
      <c r="AB32" s="79">
        <f t="shared" si="3"/>
        <v>42857.1</v>
      </c>
      <c r="AC32" s="79">
        <f t="shared" si="4"/>
        <v>171428.4</v>
      </c>
      <c r="AD32" s="8">
        <v>899999.1</v>
      </c>
      <c r="AE32" s="80">
        <f t="shared" si="11"/>
        <v>0</v>
      </c>
    </row>
    <row r="33" spans="1:31" ht="36" customHeight="1">
      <c r="A33" s="65">
        <f t="shared" si="15"/>
        <v>24</v>
      </c>
      <c r="B33" s="81" t="s">
        <v>78</v>
      </c>
      <c r="C33" s="70">
        <v>29315</v>
      </c>
      <c r="D33" s="70" t="s">
        <v>79</v>
      </c>
      <c r="E33" s="72" t="s">
        <v>38</v>
      </c>
      <c r="F33" s="62">
        <v>2.72</v>
      </c>
      <c r="G33" s="62"/>
      <c r="H33" s="62"/>
      <c r="I33" s="62"/>
      <c r="J33" s="83"/>
      <c r="K33" s="62">
        <f t="shared" si="17"/>
        <v>0.95199999999999996</v>
      </c>
      <c r="L33" s="206">
        <v>0.09</v>
      </c>
      <c r="M33" s="75">
        <f t="shared" si="18"/>
        <v>0.24480000000000002</v>
      </c>
      <c r="N33" s="76">
        <f t="shared" si="5"/>
        <v>6364800</v>
      </c>
      <c r="O33" s="76">
        <f t="shared" si="6"/>
        <v>0</v>
      </c>
      <c r="P33" s="76">
        <f t="shared" si="7"/>
        <v>0</v>
      </c>
      <c r="Q33" s="76">
        <f t="shared" si="7"/>
        <v>0</v>
      </c>
      <c r="R33" s="76">
        <f t="shared" si="7"/>
        <v>2227680</v>
      </c>
      <c r="S33" s="76">
        <f t="shared" si="14"/>
        <v>572832</v>
      </c>
      <c r="T33" s="76">
        <f t="shared" si="8"/>
        <v>9165312</v>
      </c>
      <c r="U33" s="76">
        <f t="shared" si="16"/>
        <v>728451.36</v>
      </c>
      <c r="V33" s="76">
        <f t="shared" si="10"/>
        <v>8436861</v>
      </c>
      <c r="W33" s="82" t="s">
        <v>51</v>
      </c>
      <c r="X33" s="78"/>
      <c r="Y33" s="79">
        <f t="shared" si="0"/>
        <v>1179397.4400000002</v>
      </c>
      <c r="Z33" s="79">
        <f t="shared" si="1"/>
        <v>208128.96</v>
      </c>
      <c r="AA33" s="79">
        <f t="shared" si="2"/>
        <v>69376.320000000007</v>
      </c>
      <c r="AB33" s="79">
        <f t="shared" si="3"/>
        <v>34688.160000000003</v>
      </c>
      <c r="AC33" s="79">
        <f t="shared" si="4"/>
        <v>138752.64000000001</v>
      </c>
      <c r="AD33" s="8">
        <v>721768.32000000007</v>
      </c>
      <c r="AE33" s="80">
        <f t="shared" si="11"/>
        <v>6683.0399999999208</v>
      </c>
    </row>
    <row r="34" spans="1:31" ht="36" customHeight="1">
      <c r="A34" s="65">
        <f t="shared" si="15"/>
        <v>25</v>
      </c>
      <c r="B34" s="81" t="s">
        <v>80</v>
      </c>
      <c r="C34" s="70">
        <v>31589</v>
      </c>
      <c r="D34" s="70" t="s">
        <v>81</v>
      </c>
      <c r="E34" s="72" t="s">
        <v>38</v>
      </c>
      <c r="F34" s="62">
        <v>2.72</v>
      </c>
      <c r="G34" s="62"/>
      <c r="H34" s="62"/>
      <c r="I34" s="62"/>
      <c r="J34" s="83"/>
      <c r="K34" s="62">
        <f t="shared" si="17"/>
        <v>0.95199999999999996</v>
      </c>
      <c r="L34" s="206">
        <v>0.09</v>
      </c>
      <c r="M34" s="75">
        <f t="shared" si="18"/>
        <v>0.24480000000000002</v>
      </c>
      <c r="N34" s="76">
        <f t="shared" si="5"/>
        <v>6364800</v>
      </c>
      <c r="O34" s="76">
        <f t="shared" si="6"/>
        <v>0</v>
      </c>
      <c r="P34" s="76">
        <f t="shared" si="7"/>
        <v>0</v>
      </c>
      <c r="Q34" s="76">
        <f t="shared" si="7"/>
        <v>0</v>
      </c>
      <c r="R34" s="76">
        <f t="shared" si="7"/>
        <v>2227680</v>
      </c>
      <c r="S34" s="76">
        <f t="shared" si="14"/>
        <v>572832</v>
      </c>
      <c r="T34" s="76">
        <f t="shared" si="8"/>
        <v>9165312</v>
      </c>
      <c r="U34" s="76">
        <f t="shared" si="16"/>
        <v>728451.36</v>
      </c>
      <c r="V34" s="76">
        <f t="shared" si="10"/>
        <v>8436861</v>
      </c>
      <c r="W34" s="82" t="s">
        <v>51</v>
      </c>
      <c r="X34" s="78"/>
      <c r="Y34" s="79">
        <f t="shared" si="0"/>
        <v>1179397.4400000002</v>
      </c>
      <c r="Z34" s="79">
        <f t="shared" si="1"/>
        <v>208128.96</v>
      </c>
      <c r="AA34" s="79">
        <f t="shared" si="2"/>
        <v>69376.320000000007</v>
      </c>
      <c r="AB34" s="79">
        <f t="shared" si="3"/>
        <v>34688.160000000003</v>
      </c>
      <c r="AC34" s="79">
        <f t="shared" si="4"/>
        <v>138752.64000000001</v>
      </c>
      <c r="AD34" s="8">
        <v>721768.32000000007</v>
      </c>
      <c r="AE34" s="80">
        <f t="shared" si="11"/>
        <v>6683.0399999999208</v>
      </c>
    </row>
    <row r="35" spans="1:31" ht="36" customHeight="1">
      <c r="A35" s="65">
        <f t="shared" si="15"/>
        <v>26</v>
      </c>
      <c r="B35" s="81" t="s">
        <v>82</v>
      </c>
      <c r="C35" s="70">
        <v>29660</v>
      </c>
      <c r="D35" s="70" t="s">
        <v>83</v>
      </c>
      <c r="E35" s="72" t="s">
        <v>38</v>
      </c>
      <c r="F35" s="62">
        <v>2.72</v>
      </c>
      <c r="G35" s="62"/>
      <c r="H35" s="62"/>
      <c r="I35" s="62"/>
      <c r="J35" s="83"/>
      <c r="K35" s="62">
        <f t="shared" si="17"/>
        <v>0.95199999999999996</v>
      </c>
      <c r="L35" s="206">
        <v>0.09</v>
      </c>
      <c r="M35" s="75">
        <f t="shared" si="18"/>
        <v>0.24480000000000002</v>
      </c>
      <c r="N35" s="76">
        <f t="shared" si="5"/>
        <v>6364800</v>
      </c>
      <c r="O35" s="76">
        <f t="shared" si="6"/>
        <v>0</v>
      </c>
      <c r="P35" s="76">
        <f t="shared" si="7"/>
        <v>0</v>
      </c>
      <c r="Q35" s="76">
        <f t="shared" si="7"/>
        <v>0</v>
      </c>
      <c r="R35" s="76">
        <f t="shared" si="7"/>
        <v>2227680</v>
      </c>
      <c r="S35" s="76">
        <f t="shared" si="14"/>
        <v>572832</v>
      </c>
      <c r="T35" s="76">
        <f t="shared" si="8"/>
        <v>9165312</v>
      </c>
      <c r="U35" s="76">
        <f t="shared" si="16"/>
        <v>728451.36</v>
      </c>
      <c r="V35" s="76">
        <f t="shared" si="10"/>
        <v>8436861</v>
      </c>
      <c r="W35" s="82" t="s">
        <v>51</v>
      </c>
      <c r="X35" s="78"/>
      <c r="Y35" s="79">
        <f t="shared" si="0"/>
        <v>1179397.4400000002</v>
      </c>
      <c r="Z35" s="79">
        <f t="shared" si="1"/>
        <v>208128.96</v>
      </c>
      <c r="AA35" s="79">
        <f t="shared" si="2"/>
        <v>69376.320000000007</v>
      </c>
      <c r="AB35" s="79">
        <f t="shared" si="3"/>
        <v>34688.160000000003</v>
      </c>
      <c r="AC35" s="79">
        <f t="shared" si="4"/>
        <v>138752.64000000001</v>
      </c>
      <c r="AD35" s="8">
        <v>721768.32000000007</v>
      </c>
      <c r="AE35" s="80">
        <f t="shared" si="11"/>
        <v>6683.0399999999208</v>
      </c>
    </row>
    <row r="36" spans="1:31" ht="36" customHeight="1">
      <c r="A36" s="65">
        <f t="shared" si="15"/>
        <v>27</v>
      </c>
      <c r="B36" s="81" t="s">
        <v>84</v>
      </c>
      <c r="C36" s="70">
        <v>34543</v>
      </c>
      <c r="D36" s="70" t="s">
        <v>85</v>
      </c>
      <c r="E36" s="72" t="s">
        <v>38</v>
      </c>
      <c r="F36" s="62">
        <v>2.72</v>
      </c>
      <c r="G36" s="62"/>
      <c r="H36" s="62"/>
      <c r="I36" s="62"/>
      <c r="J36" s="83">
        <v>0.15</v>
      </c>
      <c r="K36" s="62">
        <f t="shared" si="17"/>
        <v>0.95199999999999996</v>
      </c>
      <c r="L36" s="206">
        <v>0.09</v>
      </c>
      <c r="M36" s="75">
        <f t="shared" si="18"/>
        <v>0.24480000000000002</v>
      </c>
      <c r="N36" s="76">
        <f t="shared" si="5"/>
        <v>6364800</v>
      </c>
      <c r="O36" s="76">
        <f t="shared" si="6"/>
        <v>0</v>
      </c>
      <c r="P36" s="76">
        <f t="shared" si="7"/>
        <v>0</v>
      </c>
      <c r="Q36" s="76">
        <f t="shared" si="7"/>
        <v>351000</v>
      </c>
      <c r="R36" s="76">
        <f t="shared" si="7"/>
        <v>2227680</v>
      </c>
      <c r="S36" s="76">
        <f t="shared" si="14"/>
        <v>572832</v>
      </c>
      <c r="T36" s="76">
        <f t="shared" si="8"/>
        <v>9516312</v>
      </c>
      <c r="U36" s="76">
        <f t="shared" si="16"/>
        <v>728451.36</v>
      </c>
      <c r="V36" s="76">
        <f t="shared" si="10"/>
        <v>8787861</v>
      </c>
      <c r="W36" s="82" t="s">
        <v>51</v>
      </c>
      <c r="X36" s="78"/>
      <c r="Y36" s="79">
        <f t="shared" si="0"/>
        <v>1179397.4400000002</v>
      </c>
      <c r="Z36" s="79">
        <f t="shared" si="1"/>
        <v>208128.96</v>
      </c>
      <c r="AA36" s="79">
        <f t="shared" si="2"/>
        <v>69376.320000000007</v>
      </c>
      <c r="AB36" s="79">
        <f t="shared" si="3"/>
        <v>34688.160000000003</v>
      </c>
      <c r="AC36" s="79">
        <f t="shared" si="4"/>
        <v>138752.64000000001</v>
      </c>
      <c r="AD36" s="8">
        <v>721768.32000000007</v>
      </c>
      <c r="AE36" s="80">
        <f t="shared" si="11"/>
        <v>6683.0399999999208</v>
      </c>
    </row>
    <row r="37" spans="1:31" ht="36" customHeight="1">
      <c r="A37" s="65">
        <f t="shared" si="15"/>
        <v>28</v>
      </c>
      <c r="B37" s="81" t="s">
        <v>86</v>
      </c>
      <c r="C37" s="70">
        <v>30849</v>
      </c>
      <c r="D37" s="70" t="s">
        <v>87</v>
      </c>
      <c r="E37" s="72" t="s">
        <v>38</v>
      </c>
      <c r="F37" s="62">
        <v>3</v>
      </c>
      <c r="G37" s="62"/>
      <c r="H37" s="62"/>
      <c r="I37" s="62"/>
      <c r="J37" s="83">
        <v>0.2</v>
      </c>
      <c r="K37" s="62">
        <f t="shared" si="17"/>
        <v>1.0499999999999998</v>
      </c>
      <c r="L37" s="206">
        <v>0.09</v>
      </c>
      <c r="M37" s="75">
        <f t="shared" si="18"/>
        <v>0.27</v>
      </c>
      <c r="N37" s="76">
        <f t="shared" si="5"/>
        <v>7020000</v>
      </c>
      <c r="O37" s="76">
        <f t="shared" si="6"/>
        <v>0</v>
      </c>
      <c r="P37" s="76">
        <f t="shared" si="7"/>
        <v>0</v>
      </c>
      <c r="Q37" s="76">
        <f t="shared" si="7"/>
        <v>468000</v>
      </c>
      <c r="R37" s="76">
        <f t="shared" si="7"/>
        <v>2456999.9999999995</v>
      </c>
      <c r="S37" s="76">
        <f t="shared" si="14"/>
        <v>631800</v>
      </c>
      <c r="T37" s="76">
        <f t="shared" si="8"/>
        <v>10576800</v>
      </c>
      <c r="U37" s="76">
        <f t="shared" si="16"/>
        <v>803439</v>
      </c>
      <c r="V37" s="76">
        <f t="shared" si="10"/>
        <v>9773361</v>
      </c>
      <c r="W37" s="82" t="s">
        <v>51</v>
      </c>
      <c r="X37" s="78" t="s">
        <v>30</v>
      </c>
      <c r="Y37" s="79">
        <f t="shared" si="0"/>
        <v>1300806</v>
      </c>
      <c r="Z37" s="79">
        <f t="shared" si="1"/>
        <v>229554</v>
      </c>
      <c r="AA37" s="79">
        <f t="shared" si="2"/>
        <v>76518</v>
      </c>
      <c r="AB37" s="79">
        <f t="shared" si="3"/>
        <v>38259</v>
      </c>
      <c r="AC37" s="79">
        <f t="shared" si="4"/>
        <v>153036</v>
      </c>
      <c r="AD37" s="8">
        <v>796068.00000000012</v>
      </c>
      <c r="AE37" s="80">
        <f t="shared" si="11"/>
        <v>7370.9999999998836</v>
      </c>
    </row>
    <row r="38" spans="1:31" ht="36" customHeight="1">
      <c r="A38" s="65">
        <f t="shared" si="15"/>
        <v>29</v>
      </c>
      <c r="B38" s="81" t="s">
        <v>88</v>
      </c>
      <c r="C38" s="70">
        <v>34929</v>
      </c>
      <c r="D38" s="70" t="s">
        <v>89</v>
      </c>
      <c r="E38" s="72" t="s">
        <v>38</v>
      </c>
      <c r="F38" s="62">
        <v>2.72</v>
      </c>
      <c r="G38" s="62"/>
      <c r="H38" s="62"/>
      <c r="I38" s="62"/>
      <c r="J38" s="83"/>
      <c r="K38" s="62">
        <f t="shared" si="17"/>
        <v>0.95199999999999996</v>
      </c>
      <c r="L38" s="206">
        <v>0.09</v>
      </c>
      <c r="M38" s="75">
        <f t="shared" si="18"/>
        <v>0.24480000000000002</v>
      </c>
      <c r="N38" s="76">
        <f t="shared" si="5"/>
        <v>6364800</v>
      </c>
      <c r="O38" s="76">
        <f t="shared" si="6"/>
        <v>0</v>
      </c>
      <c r="P38" s="76">
        <f t="shared" si="7"/>
        <v>0</v>
      </c>
      <c r="Q38" s="76">
        <f t="shared" si="7"/>
        <v>0</v>
      </c>
      <c r="R38" s="76">
        <f t="shared" si="7"/>
        <v>2227680</v>
      </c>
      <c r="S38" s="76">
        <f t="shared" si="14"/>
        <v>572832</v>
      </c>
      <c r="T38" s="76">
        <f t="shared" si="8"/>
        <v>9165312</v>
      </c>
      <c r="U38" s="76">
        <f t="shared" si="16"/>
        <v>728451.36</v>
      </c>
      <c r="V38" s="76">
        <f t="shared" si="10"/>
        <v>8436861</v>
      </c>
      <c r="W38" s="82" t="s">
        <v>51</v>
      </c>
      <c r="X38" s="78"/>
      <c r="Y38" s="79">
        <f t="shared" si="0"/>
        <v>1179397.4400000002</v>
      </c>
      <c r="Z38" s="79">
        <f t="shared" si="1"/>
        <v>208128.96</v>
      </c>
      <c r="AA38" s="79">
        <f t="shared" si="2"/>
        <v>69376.320000000007</v>
      </c>
      <c r="AB38" s="79">
        <f t="shared" si="3"/>
        <v>34688.160000000003</v>
      </c>
      <c r="AC38" s="79">
        <f t="shared" si="4"/>
        <v>138752.64000000001</v>
      </c>
      <c r="AD38" s="8">
        <v>721768.32000000007</v>
      </c>
      <c r="AE38" s="80">
        <f t="shared" si="11"/>
        <v>6683.0399999999208</v>
      </c>
    </row>
    <row r="39" spans="1:31" s="2" customFormat="1" ht="36" customHeight="1">
      <c r="A39" s="65">
        <f t="shared" si="15"/>
        <v>30</v>
      </c>
      <c r="B39" s="81" t="s">
        <v>90</v>
      </c>
      <c r="C39" s="70">
        <v>34482</v>
      </c>
      <c r="D39" s="70" t="s">
        <v>91</v>
      </c>
      <c r="E39" s="72" t="s">
        <v>38</v>
      </c>
      <c r="F39" s="62">
        <v>3</v>
      </c>
      <c r="G39" s="62"/>
      <c r="H39" s="62"/>
      <c r="I39" s="62"/>
      <c r="J39" s="83"/>
      <c r="K39" s="62">
        <f t="shared" si="17"/>
        <v>1.0499999999999998</v>
      </c>
      <c r="L39" s="206">
        <v>0.09</v>
      </c>
      <c r="M39" s="75">
        <f t="shared" si="18"/>
        <v>0.27</v>
      </c>
      <c r="N39" s="76">
        <f t="shared" si="5"/>
        <v>7020000</v>
      </c>
      <c r="O39" s="76">
        <f t="shared" si="6"/>
        <v>0</v>
      </c>
      <c r="P39" s="76">
        <f t="shared" si="7"/>
        <v>0</v>
      </c>
      <c r="Q39" s="76">
        <f t="shared" si="7"/>
        <v>0</v>
      </c>
      <c r="R39" s="76">
        <f t="shared" si="7"/>
        <v>2456999.9999999995</v>
      </c>
      <c r="S39" s="76">
        <f t="shared" si="14"/>
        <v>631800</v>
      </c>
      <c r="T39" s="76">
        <f t="shared" si="8"/>
        <v>10108800</v>
      </c>
      <c r="U39" s="76">
        <f t="shared" si="16"/>
        <v>803439</v>
      </c>
      <c r="V39" s="76">
        <f t="shared" si="10"/>
        <v>9305361</v>
      </c>
      <c r="W39" s="82" t="s">
        <v>51</v>
      </c>
      <c r="X39" s="78" t="s">
        <v>30</v>
      </c>
      <c r="Y39" s="79">
        <f t="shared" si="0"/>
        <v>1300806</v>
      </c>
      <c r="Z39" s="79">
        <f t="shared" si="1"/>
        <v>229554</v>
      </c>
      <c r="AA39" s="79">
        <f t="shared" si="2"/>
        <v>76518</v>
      </c>
      <c r="AB39" s="79">
        <f t="shared" si="3"/>
        <v>38259</v>
      </c>
      <c r="AC39" s="79">
        <f t="shared" si="4"/>
        <v>153036</v>
      </c>
      <c r="AD39" s="89">
        <v>796068.00000000012</v>
      </c>
      <c r="AE39" s="80">
        <f t="shared" si="11"/>
        <v>7370.9999999998836</v>
      </c>
    </row>
    <row r="40" spans="1:31" ht="36" customHeight="1">
      <c r="A40" s="65">
        <f t="shared" si="15"/>
        <v>31</v>
      </c>
      <c r="B40" s="81" t="s">
        <v>92</v>
      </c>
      <c r="C40" s="70">
        <v>34625</v>
      </c>
      <c r="D40" s="70" t="s">
        <v>93</v>
      </c>
      <c r="E40" s="72" t="s">
        <v>38</v>
      </c>
      <c r="F40" s="62">
        <v>2.72</v>
      </c>
      <c r="G40" s="62"/>
      <c r="H40" s="62"/>
      <c r="I40" s="62"/>
      <c r="J40" s="83">
        <v>0.2</v>
      </c>
      <c r="K40" s="62">
        <f t="shared" si="17"/>
        <v>0.95199999999999996</v>
      </c>
      <c r="L40" s="206">
        <v>0.09</v>
      </c>
      <c r="M40" s="75">
        <f>(F40+H40)*L40</f>
        <v>0.24480000000000002</v>
      </c>
      <c r="N40" s="76">
        <f t="shared" si="5"/>
        <v>6364800</v>
      </c>
      <c r="O40" s="76">
        <f t="shared" si="6"/>
        <v>0</v>
      </c>
      <c r="P40" s="76">
        <f t="shared" si="7"/>
        <v>0</v>
      </c>
      <c r="Q40" s="76">
        <f>J40*2340000</f>
        <v>468000</v>
      </c>
      <c r="R40" s="76">
        <f t="shared" si="7"/>
        <v>2227680</v>
      </c>
      <c r="S40" s="76">
        <f t="shared" si="14"/>
        <v>572832</v>
      </c>
      <c r="T40" s="76">
        <f t="shared" si="8"/>
        <v>9633312</v>
      </c>
      <c r="U40" s="76">
        <f t="shared" si="16"/>
        <v>728451.36</v>
      </c>
      <c r="V40" s="76">
        <f t="shared" si="10"/>
        <v>8904861</v>
      </c>
      <c r="W40" s="82" t="s">
        <v>51</v>
      </c>
      <c r="X40" s="78"/>
      <c r="Y40" s="79">
        <f t="shared" si="0"/>
        <v>1179397.4400000002</v>
      </c>
      <c r="Z40" s="79">
        <f t="shared" si="1"/>
        <v>208128.96</v>
      </c>
      <c r="AA40" s="79">
        <f t="shared" si="2"/>
        <v>69376.320000000007</v>
      </c>
      <c r="AB40" s="79">
        <f t="shared" si="3"/>
        <v>34688.160000000003</v>
      </c>
      <c r="AC40" s="79">
        <f t="shared" si="4"/>
        <v>138752.64000000001</v>
      </c>
      <c r="AD40" s="8">
        <v>721768.32000000007</v>
      </c>
      <c r="AE40" s="80">
        <f t="shared" si="11"/>
        <v>6683.0399999999208</v>
      </c>
    </row>
    <row r="41" spans="1:31" ht="36" customHeight="1">
      <c r="A41" s="65">
        <f t="shared" si="15"/>
        <v>32</v>
      </c>
      <c r="B41" s="108" t="s">
        <v>94</v>
      </c>
      <c r="C41" s="70">
        <v>35204</v>
      </c>
      <c r="D41" s="70" t="s">
        <v>95</v>
      </c>
      <c r="E41" s="72" t="s">
        <v>38</v>
      </c>
      <c r="F41" s="62">
        <v>2.1</v>
      </c>
      <c r="G41" s="62"/>
      <c r="H41" s="62"/>
      <c r="I41" s="62"/>
      <c r="J41" s="83"/>
      <c r="K41" s="62">
        <f>(F41+H41*F41)*35%</f>
        <v>0.73499999999999999</v>
      </c>
      <c r="L41" s="73">
        <v>0</v>
      </c>
      <c r="M41" s="75">
        <f t="shared" ref="M41:M43" si="19">(F41+H41)*L41</f>
        <v>0</v>
      </c>
      <c r="N41" s="76">
        <f t="shared" si="5"/>
        <v>4914000</v>
      </c>
      <c r="O41" s="76">
        <f t="shared" si="6"/>
        <v>0</v>
      </c>
      <c r="P41" s="76">
        <f t="shared" si="7"/>
        <v>0</v>
      </c>
      <c r="Q41" s="76">
        <f t="shared" si="7"/>
        <v>0</v>
      </c>
      <c r="R41" s="76">
        <f t="shared" si="7"/>
        <v>1719900</v>
      </c>
      <c r="S41" s="76">
        <f t="shared" si="14"/>
        <v>0</v>
      </c>
      <c r="T41" s="76">
        <f t="shared" si="8"/>
        <v>6633900</v>
      </c>
      <c r="U41" s="76">
        <f t="shared" si="16"/>
        <v>515970</v>
      </c>
      <c r="V41" s="76">
        <f t="shared" si="10"/>
        <v>6117930</v>
      </c>
      <c r="W41" s="82"/>
      <c r="X41" s="78"/>
      <c r="Y41" s="79">
        <f t="shared" si="0"/>
        <v>835380.00000000012</v>
      </c>
      <c r="Z41" s="79">
        <f t="shared" si="1"/>
        <v>147420</v>
      </c>
      <c r="AA41" s="79">
        <f t="shared" si="2"/>
        <v>49140</v>
      </c>
      <c r="AB41" s="79">
        <f t="shared" si="3"/>
        <v>24570</v>
      </c>
      <c r="AC41" s="79">
        <f t="shared" si="4"/>
        <v>98280</v>
      </c>
      <c r="AD41" s="8">
        <v>515970</v>
      </c>
      <c r="AE41" s="80">
        <f t="shared" si="11"/>
        <v>0</v>
      </c>
    </row>
    <row r="42" spans="1:31" ht="36" customHeight="1">
      <c r="A42" s="65">
        <f t="shared" si="15"/>
        <v>33</v>
      </c>
      <c r="B42" s="81" t="s">
        <v>96</v>
      </c>
      <c r="C42" s="70">
        <v>31860</v>
      </c>
      <c r="D42" s="70" t="s">
        <v>97</v>
      </c>
      <c r="E42" s="72" t="s">
        <v>38</v>
      </c>
      <c r="F42" s="109">
        <v>2.34</v>
      </c>
      <c r="G42" s="109"/>
      <c r="H42" s="62"/>
      <c r="I42" s="62"/>
      <c r="J42" s="83">
        <v>0.1</v>
      </c>
      <c r="K42" s="62">
        <v>0</v>
      </c>
      <c r="L42" s="73">
        <v>0</v>
      </c>
      <c r="M42" s="75">
        <f t="shared" si="19"/>
        <v>0</v>
      </c>
      <c r="N42" s="76">
        <f t="shared" si="5"/>
        <v>5475600</v>
      </c>
      <c r="O42" s="76">
        <f t="shared" si="6"/>
        <v>0</v>
      </c>
      <c r="P42" s="76">
        <f t="shared" si="7"/>
        <v>0</v>
      </c>
      <c r="Q42" s="76">
        <f t="shared" si="7"/>
        <v>234000</v>
      </c>
      <c r="R42" s="76">
        <f t="shared" si="7"/>
        <v>0</v>
      </c>
      <c r="S42" s="76">
        <f t="shared" si="14"/>
        <v>0</v>
      </c>
      <c r="T42" s="76">
        <f>SUM(N42:S42)</f>
        <v>5709600</v>
      </c>
      <c r="U42" s="76">
        <f t="shared" si="16"/>
        <v>574938</v>
      </c>
      <c r="V42" s="76">
        <f>ROUND((T42-U42),0)</f>
        <v>5134662</v>
      </c>
      <c r="W42" s="82"/>
      <c r="X42" s="78" t="s">
        <v>30</v>
      </c>
      <c r="Y42" s="79">
        <f t="shared" si="0"/>
        <v>930852.00000000012</v>
      </c>
      <c r="Z42" s="79">
        <f t="shared" si="1"/>
        <v>164268</v>
      </c>
      <c r="AA42" s="79">
        <f t="shared" si="2"/>
        <v>54756</v>
      </c>
      <c r="AB42" s="79">
        <f t="shared" si="3"/>
        <v>27378</v>
      </c>
      <c r="AC42" s="79">
        <f t="shared" si="4"/>
        <v>109512</v>
      </c>
      <c r="AD42" s="8">
        <v>574938</v>
      </c>
      <c r="AE42" s="80">
        <f t="shared" si="11"/>
        <v>0</v>
      </c>
    </row>
    <row r="43" spans="1:31" ht="36" customHeight="1">
      <c r="A43" s="65">
        <f t="shared" si="15"/>
        <v>34</v>
      </c>
      <c r="B43" s="108" t="s">
        <v>98</v>
      </c>
      <c r="C43" s="70">
        <v>23728</v>
      </c>
      <c r="D43" s="70" t="s">
        <v>99</v>
      </c>
      <c r="E43" s="72" t="s">
        <v>100</v>
      </c>
      <c r="F43" s="109">
        <v>3.48</v>
      </c>
      <c r="G43" s="109"/>
      <c r="H43" s="73">
        <v>0.24</v>
      </c>
      <c r="I43" s="62"/>
      <c r="J43" s="83">
        <v>0.15</v>
      </c>
      <c r="K43" s="62">
        <v>0</v>
      </c>
      <c r="L43" s="73">
        <v>0</v>
      </c>
      <c r="M43" s="75">
        <f t="shared" si="19"/>
        <v>0</v>
      </c>
      <c r="N43" s="76">
        <f>F43*2340000</f>
        <v>8143200</v>
      </c>
      <c r="O43" s="76">
        <f>H43*F43*2340000</f>
        <v>1954367.9999999998</v>
      </c>
      <c r="P43" s="76">
        <f t="shared" si="7"/>
        <v>0</v>
      </c>
      <c r="Q43" s="76">
        <f t="shared" si="7"/>
        <v>351000</v>
      </c>
      <c r="R43" s="76">
        <f>K43*2340000</f>
        <v>0</v>
      </c>
      <c r="S43" s="76">
        <f t="shared" si="14"/>
        <v>0</v>
      </c>
      <c r="T43" s="76">
        <f>SUM(N43:S43)</f>
        <v>10448568</v>
      </c>
      <c r="U43" s="76">
        <f>(N43+O43+S43)*10.5%</f>
        <v>1060244.6399999999</v>
      </c>
      <c r="V43" s="76">
        <f t="shared" si="10"/>
        <v>9388323</v>
      </c>
      <c r="W43" s="82"/>
      <c r="X43" s="78" t="s">
        <v>30</v>
      </c>
      <c r="Y43" s="79">
        <f t="shared" si="0"/>
        <v>1716586.56</v>
      </c>
      <c r="Z43" s="79">
        <f t="shared" si="1"/>
        <v>302927.03999999998</v>
      </c>
      <c r="AA43" s="79">
        <f t="shared" si="2"/>
        <v>100975.68000000001</v>
      </c>
      <c r="AB43" s="79">
        <f t="shared" si="3"/>
        <v>50487.840000000004</v>
      </c>
      <c r="AC43" s="79">
        <f t="shared" si="4"/>
        <v>201951.36000000002</v>
      </c>
      <c r="AD43" s="8">
        <v>1060244.6399999999</v>
      </c>
      <c r="AE43" s="80">
        <f t="shared" si="11"/>
        <v>0</v>
      </c>
    </row>
    <row r="44" spans="1:31" s="2" customFormat="1" ht="30" customHeight="1">
      <c r="A44" s="110"/>
      <c r="B44" s="110" t="s">
        <v>101</v>
      </c>
      <c r="C44" s="111"/>
      <c r="D44" s="111"/>
      <c r="E44" s="112"/>
      <c r="F44" s="113">
        <f>SUM(F10:F43)</f>
        <v>116.69999999999999</v>
      </c>
      <c r="G44" s="113"/>
      <c r="H44" s="114">
        <f t="shared" ref="H44:O44" si="20">SUM(H10:H43)</f>
        <v>0.24</v>
      </c>
      <c r="I44" s="115">
        <f t="shared" si="20"/>
        <v>1.2</v>
      </c>
      <c r="J44" s="115">
        <f t="shared" si="20"/>
        <v>1.7</v>
      </c>
      <c r="K44" s="116">
        <f t="shared" si="20"/>
        <v>39.227999999999987</v>
      </c>
      <c r="L44" s="114">
        <f t="shared" si="20"/>
        <v>4.9099999999999993</v>
      </c>
      <c r="M44" s="115">
        <f t="shared" si="20"/>
        <v>18.4861</v>
      </c>
      <c r="N44" s="117">
        <f t="shared" si="20"/>
        <v>273078000</v>
      </c>
      <c r="O44" s="117">
        <f t="shared" si="20"/>
        <v>1954367.9999999998</v>
      </c>
      <c r="P44" s="117">
        <f t="shared" ref="P44:U44" si="21">ROUND(SUM(P10:P43),0)</f>
        <v>2808000</v>
      </c>
      <c r="Q44" s="117">
        <f t="shared" si="21"/>
        <v>3978000</v>
      </c>
      <c r="R44" s="117">
        <f t="shared" si="21"/>
        <v>91793520</v>
      </c>
      <c r="S44" s="117">
        <f t="shared" si="21"/>
        <v>43257474</v>
      </c>
      <c r="T44" s="117">
        <f t="shared" si="21"/>
        <v>416869362</v>
      </c>
      <c r="U44" s="117">
        <f t="shared" si="21"/>
        <v>33715273</v>
      </c>
      <c r="V44" s="117">
        <f>SUM(V10:V43)</f>
        <v>383154090</v>
      </c>
      <c r="W44" s="82"/>
      <c r="X44" s="78"/>
      <c r="Y44" s="118">
        <f>SUM(Y10:Y43)</f>
        <v>54586633.139999993</v>
      </c>
      <c r="Z44" s="118">
        <f>SUM(Z10:Z43)</f>
        <v>9632935.2599999998</v>
      </c>
      <c r="AA44" s="118">
        <f>SUM(AA10:AA43)</f>
        <v>3210978.42</v>
      </c>
      <c r="AB44" s="79">
        <f t="shared" si="3"/>
        <v>1605489.21</v>
      </c>
      <c r="AC44" s="118">
        <f>SUM(AC10:AC43)</f>
        <v>6421956.8399999999</v>
      </c>
      <c r="AD44" s="89"/>
      <c r="AE44" s="80">
        <f t="shared" si="11"/>
        <v>33715273</v>
      </c>
    </row>
    <row r="45" spans="1:31" s="2" customFormat="1" ht="9.75" customHeight="1">
      <c r="A45" s="119" t="s">
        <v>102</v>
      </c>
      <c r="B45" s="120" t="s">
        <v>103</v>
      </c>
      <c r="C45" s="121"/>
      <c r="D45" s="121"/>
      <c r="E45" s="121"/>
      <c r="F45" s="121"/>
      <c r="G45" s="121"/>
      <c r="H45" s="121"/>
      <c r="I45" s="121"/>
      <c r="J45" s="121"/>
      <c r="K45" s="121"/>
      <c r="L45" s="121"/>
      <c r="M45" s="122"/>
      <c r="N45" s="76"/>
      <c r="O45" s="123"/>
      <c r="P45" s="123"/>
      <c r="Q45" s="123"/>
      <c r="R45" s="123"/>
      <c r="S45" s="123"/>
      <c r="T45" s="76"/>
      <c r="U45" s="76"/>
      <c r="V45" s="76"/>
      <c r="W45" s="124"/>
      <c r="X45" s="78"/>
      <c r="Y45" s="79"/>
      <c r="Z45" s="79"/>
      <c r="AA45" s="79"/>
      <c r="AB45" s="79">
        <f t="shared" si="3"/>
        <v>0</v>
      </c>
      <c r="AC45" s="79"/>
      <c r="AD45" s="89"/>
      <c r="AE45" s="80">
        <f t="shared" si="11"/>
        <v>0</v>
      </c>
    </row>
    <row r="46" spans="1:31" ht="34.5" customHeight="1">
      <c r="A46" s="125">
        <v>1</v>
      </c>
      <c r="B46" s="81" t="s">
        <v>82</v>
      </c>
      <c r="C46" s="70">
        <v>28487</v>
      </c>
      <c r="D46" s="70" t="s">
        <v>104</v>
      </c>
      <c r="E46" s="65" t="s">
        <v>105</v>
      </c>
      <c r="F46" s="62"/>
      <c r="G46" s="126">
        <v>4960000</v>
      </c>
      <c r="H46" s="62"/>
      <c r="I46" s="62"/>
      <c r="J46" s="83"/>
      <c r="K46" s="76"/>
      <c r="L46" s="76"/>
      <c r="M46" s="76"/>
      <c r="N46" s="76">
        <f>G46</f>
        <v>4960000</v>
      </c>
      <c r="O46" s="76">
        <f t="shared" ref="O46:O55" si="22">H46*F46*1800000</f>
        <v>0</v>
      </c>
      <c r="P46" s="76">
        <f>I46*2340000</f>
        <v>0</v>
      </c>
      <c r="Q46" s="76">
        <f>J46*2340000</f>
        <v>0</v>
      </c>
      <c r="R46" s="76">
        <f t="shared" ref="R46:R55" si="23">K46*1490000</f>
        <v>0</v>
      </c>
      <c r="S46" s="76">
        <f t="shared" ref="S46:S55" si="24">(F46+H46*F46+I46)*1490000*L46</f>
        <v>0</v>
      </c>
      <c r="T46" s="76">
        <f>SUM(N46:S46)</f>
        <v>4960000</v>
      </c>
      <c r="U46" s="76">
        <f t="shared" ref="U46:U55" si="25">(N46+O46+S46)*10.5%</f>
        <v>520800</v>
      </c>
      <c r="V46" s="76">
        <f>ROUND((T46-U46),0)</f>
        <v>4439200</v>
      </c>
      <c r="W46" s="82"/>
      <c r="X46" s="78" t="s">
        <v>30</v>
      </c>
      <c r="Y46" s="79">
        <f t="shared" ref="Y46:Y55" si="26">(N46+O46+P46+S46)*17%</f>
        <v>843200.00000000012</v>
      </c>
      <c r="Z46" s="79">
        <f t="shared" ref="Z46:Z55" si="27">(N46+O46+P46+S46)*3%</f>
        <v>148800</v>
      </c>
      <c r="AA46" s="79">
        <f t="shared" ref="AA46:AA55" si="28">(N46+O46+P46+S46)*1%</f>
        <v>49600</v>
      </c>
      <c r="AB46" s="79">
        <f t="shared" si="3"/>
        <v>24800</v>
      </c>
      <c r="AC46" s="79">
        <f t="shared" ref="AC46:AC55" si="29">(N46+O46+P46+S46)*2%</f>
        <v>99200</v>
      </c>
      <c r="AD46" s="8">
        <v>520800</v>
      </c>
      <c r="AE46" s="80">
        <f t="shared" si="11"/>
        <v>0</v>
      </c>
    </row>
    <row r="47" spans="1:31" ht="34.5" customHeight="1">
      <c r="A47" s="125">
        <v>2</v>
      </c>
      <c r="B47" s="81" t="s">
        <v>106</v>
      </c>
      <c r="C47" s="70">
        <v>28967</v>
      </c>
      <c r="D47" s="70" t="s">
        <v>107</v>
      </c>
      <c r="E47" s="65" t="s">
        <v>105</v>
      </c>
      <c r="F47" s="62"/>
      <c r="G47" s="126">
        <v>4960000</v>
      </c>
      <c r="H47" s="62"/>
      <c r="I47" s="62"/>
      <c r="J47" s="76"/>
      <c r="K47" s="76"/>
      <c r="L47" s="76"/>
      <c r="M47" s="76"/>
      <c r="N47" s="76">
        <f t="shared" ref="N47:N55" si="30">G47</f>
        <v>4960000</v>
      </c>
      <c r="O47" s="76">
        <f t="shared" si="22"/>
        <v>0</v>
      </c>
      <c r="P47" s="76">
        <f t="shared" ref="P47:Q55" si="31">I47*2340000</f>
        <v>0</v>
      </c>
      <c r="Q47" s="76">
        <f t="shared" si="31"/>
        <v>0</v>
      </c>
      <c r="R47" s="76">
        <f t="shared" si="23"/>
        <v>0</v>
      </c>
      <c r="S47" s="76">
        <f t="shared" si="24"/>
        <v>0</v>
      </c>
      <c r="T47" s="76">
        <f t="shared" ref="T47:T55" si="32">SUM(N47:S47)</f>
        <v>4960000</v>
      </c>
      <c r="U47" s="76">
        <f t="shared" si="25"/>
        <v>520800</v>
      </c>
      <c r="V47" s="76">
        <f>ROUND((T47-U47),0)</f>
        <v>4439200</v>
      </c>
      <c r="W47" s="82"/>
      <c r="X47" s="78"/>
      <c r="Y47" s="79">
        <f t="shared" si="26"/>
        <v>843200.00000000012</v>
      </c>
      <c r="Z47" s="79">
        <f t="shared" si="27"/>
        <v>148800</v>
      </c>
      <c r="AA47" s="79">
        <f t="shared" si="28"/>
        <v>49600</v>
      </c>
      <c r="AB47" s="79">
        <f t="shared" si="3"/>
        <v>24800</v>
      </c>
      <c r="AC47" s="79">
        <f t="shared" si="29"/>
        <v>99200</v>
      </c>
      <c r="AD47" s="8">
        <v>520800</v>
      </c>
      <c r="AE47" s="80">
        <f t="shared" si="11"/>
        <v>0</v>
      </c>
    </row>
    <row r="48" spans="1:31" ht="34.5" customHeight="1">
      <c r="A48" s="125">
        <v>3</v>
      </c>
      <c r="B48" s="81" t="s">
        <v>108</v>
      </c>
      <c r="C48" s="70">
        <v>28691</v>
      </c>
      <c r="D48" s="70" t="s">
        <v>109</v>
      </c>
      <c r="E48" s="65" t="s">
        <v>105</v>
      </c>
      <c r="F48" s="62"/>
      <c r="G48" s="126">
        <v>4960000</v>
      </c>
      <c r="H48" s="62"/>
      <c r="I48" s="62"/>
      <c r="J48" s="76"/>
      <c r="K48" s="76"/>
      <c r="L48" s="76"/>
      <c r="M48" s="76"/>
      <c r="N48" s="76">
        <f t="shared" si="30"/>
        <v>4960000</v>
      </c>
      <c r="O48" s="76">
        <f t="shared" si="22"/>
        <v>0</v>
      </c>
      <c r="P48" s="76">
        <f t="shared" si="31"/>
        <v>0</v>
      </c>
      <c r="Q48" s="76">
        <f t="shared" si="31"/>
        <v>0</v>
      </c>
      <c r="R48" s="76">
        <f t="shared" si="23"/>
        <v>0</v>
      </c>
      <c r="S48" s="76">
        <f t="shared" si="24"/>
        <v>0</v>
      </c>
      <c r="T48" s="76">
        <f t="shared" si="32"/>
        <v>4960000</v>
      </c>
      <c r="U48" s="76">
        <f t="shared" si="25"/>
        <v>520800</v>
      </c>
      <c r="V48" s="76">
        <f>ROUND((T48-U48),0)</f>
        <v>4439200</v>
      </c>
      <c r="W48" s="82"/>
      <c r="X48" s="78" t="s">
        <v>30</v>
      </c>
      <c r="Y48" s="79">
        <f t="shared" si="26"/>
        <v>843200.00000000012</v>
      </c>
      <c r="Z48" s="79">
        <f t="shared" si="27"/>
        <v>148800</v>
      </c>
      <c r="AA48" s="79">
        <f t="shared" si="28"/>
        <v>49600</v>
      </c>
      <c r="AB48" s="79">
        <f t="shared" si="3"/>
        <v>24800</v>
      </c>
      <c r="AC48" s="79">
        <f t="shared" si="29"/>
        <v>99200</v>
      </c>
      <c r="AD48" s="8">
        <v>520800</v>
      </c>
      <c r="AE48" s="80">
        <f t="shared" si="11"/>
        <v>0</v>
      </c>
    </row>
    <row r="49" spans="1:31" ht="34.5" customHeight="1">
      <c r="A49" s="125">
        <v>4</v>
      </c>
      <c r="B49" s="81" t="s">
        <v>110</v>
      </c>
      <c r="C49" s="70">
        <v>28212</v>
      </c>
      <c r="D49" s="70" t="s">
        <v>111</v>
      </c>
      <c r="E49" s="65" t="s">
        <v>105</v>
      </c>
      <c r="F49" s="62"/>
      <c r="G49" s="126">
        <v>4960000</v>
      </c>
      <c r="H49" s="62"/>
      <c r="I49" s="62"/>
      <c r="J49" s="83">
        <v>0.2</v>
      </c>
      <c r="K49" s="76"/>
      <c r="L49" s="76"/>
      <c r="M49" s="76"/>
      <c r="N49" s="76">
        <f t="shared" si="30"/>
        <v>4960000</v>
      </c>
      <c r="O49" s="76">
        <f t="shared" si="22"/>
        <v>0</v>
      </c>
      <c r="P49" s="76">
        <f t="shared" si="31"/>
        <v>0</v>
      </c>
      <c r="Q49" s="76">
        <f t="shared" si="31"/>
        <v>468000</v>
      </c>
      <c r="R49" s="76">
        <f t="shared" si="23"/>
        <v>0</v>
      </c>
      <c r="S49" s="76">
        <f t="shared" si="24"/>
        <v>0</v>
      </c>
      <c r="T49" s="76">
        <f>SUM(N49:S49)</f>
        <v>5428000</v>
      </c>
      <c r="U49" s="76">
        <f t="shared" si="25"/>
        <v>520800</v>
      </c>
      <c r="V49" s="76">
        <f>ROUND((T49-U49),0)</f>
        <v>4907200</v>
      </c>
      <c r="W49" s="82"/>
      <c r="X49" s="78" t="s">
        <v>30</v>
      </c>
      <c r="Y49" s="79">
        <f t="shared" si="26"/>
        <v>843200.00000000012</v>
      </c>
      <c r="Z49" s="79">
        <f t="shared" si="27"/>
        <v>148800</v>
      </c>
      <c r="AA49" s="79">
        <f t="shared" si="28"/>
        <v>49600</v>
      </c>
      <c r="AB49" s="79">
        <f t="shared" si="3"/>
        <v>24800</v>
      </c>
      <c r="AC49" s="79">
        <f t="shared" si="29"/>
        <v>99200</v>
      </c>
      <c r="AD49" s="8">
        <v>520800</v>
      </c>
      <c r="AE49" s="80">
        <f t="shared" si="11"/>
        <v>0</v>
      </c>
    </row>
    <row r="50" spans="1:31" ht="34.5" customHeight="1">
      <c r="A50" s="125">
        <v>5</v>
      </c>
      <c r="B50" s="81" t="s">
        <v>112</v>
      </c>
      <c r="C50" s="70">
        <v>27890</v>
      </c>
      <c r="D50" s="70" t="s">
        <v>113</v>
      </c>
      <c r="E50" s="65" t="s">
        <v>105</v>
      </c>
      <c r="F50" s="62"/>
      <c r="G50" s="126">
        <v>4960000</v>
      </c>
      <c r="H50" s="62"/>
      <c r="I50" s="62"/>
      <c r="J50" s="76"/>
      <c r="K50" s="76"/>
      <c r="L50" s="76"/>
      <c r="M50" s="76"/>
      <c r="N50" s="76">
        <f t="shared" si="30"/>
        <v>4960000</v>
      </c>
      <c r="O50" s="76">
        <f t="shared" si="22"/>
        <v>0</v>
      </c>
      <c r="P50" s="76">
        <f t="shared" si="31"/>
        <v>0</v>
      </c>
      <c r="Q50" s="76">
        <f t="shared" si="31"/>
        <v>0</v>
      </c>
      <c r="R50" s="76">
        <f t="shared" si="23"/>
        <v>0</v>
      </c>
      <c r="S50" s="76">
        <f t="shared" si="24"/>
        <v>0</v>
      </c>
      <c r="T50" s="76">
        <f t="shared" si="32"/>
        <v>4960000</v>
      </c>
      <c r="U50" s="76">
        <f t="shared" si="25"/>
        <v>520800</v>
      </c>
      <c r="V50" s="76">
        <f t="shared" ref="V50:V54" si="33">ROUND((T50-U50),0)</f>
        <v>4439200</v>
      </c>
      <c r="W50" s="82"/>
      <c r="X50" s="78"/>
      <c r="Y50" s="79">
        <f t="shared" si="26"/>
        <v>843200.00000000012</v>
      </c>
      <c r="Z50" s="79">
        <f t="shared" si="27"/>
        <v>148800</v>
      </c>
      <c r="AA50" s="79">
        <f t="shared" si="28"/>
        <v>49600</v>
      </c>
      <c r="AB50" s="79">
        <f t="shared" si="3"/>
        <v>24800</v>
      </c>
      <c r="AC50" s="79">
        <f t="shared" si="29"/>
        <v>99200</v>
      </c>
      <c r="AD50" s="8">
        <v>520800</v>
      </c>
      <c r="AE50" s="80">
        <f t="shared" si="11"/>
        <v>0</v>
      </c>
    </row>
    <row r="51" spans="1:31" s="2" customFormat="1" ht="34.5" customHeight="1">
      <c r="A51" s="125">
        <v>6</v>
      </c>
      <c r="B51" s="81" t="s">
        <v>114</v>
      </c>
      <c r="C51" s="70">
        <v>26542</v>
      </c>
      <c r="D51" s="70" t="s">
        <v>115</v>
      </c>
      <c r="E51" s="65" t="s">
        <v>105</v>
      </c>
      <c r="F51" s="62"/>
      <c r="G51" s="126">
        <v>4960000</v>
      </c>
      <c r="H51" s="62"/>
      <c r="I51" s="62"/>
      <c r="J51" s="76"/>
      <c r="K51" s="76"/>
      <c r="L51" s="76"/>
      <c r="M51" s="76"/>
      <c r="N51" s="76">
        <f t="shared" si="30"/>
        <v>4960000</v>
      </c>
      <c r="O51" s="76">
        <f t="shared" si="22"/>
        <v>0</v>
      </c>
      <c r="P51" s="76">
        <f t="shared" si="31"/>
        <v>0</v>
      </c>
      <c r="Q51" s="76">
        <f t="shared" si="31"/>
        <v>0</v>
      </c>
      <c r="R51" s="76">
        <f t="shared" si="23"/>
        <v>0</v>
      </c>
      <c r="S51" s="76">
        <f t="shared" si="24"/>
        <v>0</v>
      </c>
      <c r="T51" s="76">
        <f t="shared" si="32"/>
        <v>4960000</v>
      </c>
      <c r="U51" s="76">
        <f t="shared" si="25"/>
        <v>520800</v>
      </c>
      <c r="V51" s="76">
        <f t="shared" si="33"/>
        <v>4439200</v>
      </c>
      <c r="W51" s="82"/>
      <c r="X51" s="78"/>
      <c r="Y51" s="79">
        <f t="shared" si="26"/>
        <v>843200.00000000012</v>
      </c>
      <c r="Z51" s="79">
        <f t="shared" si="27"/>
        <v>148800</v>
      </c>
      <c r="AA51" s="79">
        <f t="shared" si="28"/>
        <v>49600</v>
      </c>
      <c r="AB51" s="79">
        <f t="shared" si="3"/>
        <v>24800</v>
      </c>
      <c r="AC51" s="79">
        <f t="shared" si="29"/>
        <v>99200</v>
      </c>
      <c r="AD51" s="89">
        <v>520800</v>
      </c>
      <c r="AE51" s="80">
        <f t="shared" si="11"/>
        <v>0</v>
      </c>
    </row>
    <row r="52" spans="1:31" ht="34.5" customHeight="1">
      <c r="A52" s="125">
        <v>7</v>
      </c>
      <c r="B52" s="81" t="s">
        <v>116</v>
      </c>
      <c r="C52" s="70">
        <v>26042</v>
      </c>
      <c r="D52" s="70" t="s">
        <v>117</v>
      </c>
      <c r="E52" s="65" t="s">
        <v>105</v>
      </c>
      <c r="F52" s="62"/>
      <c r="G52" s="126">
        <v>4960000</v>
      </c>
      <c r="H52" s="62"/>
      <c r="I52" s="62"/>
      <c r="J52" s="76"/>
      <c r="K52" s="76"/>
      <c r="L52" s="76"/>
      <c r="M52" s="76"/>
      <c r="N52" s="76">
        <f t="shared" si="30"/>
        <v>4960000</v>
      </c>
      <c r="O52" s="76">
        <f t="shared" si="22"/>
        <v>0</v>
      </c>
      <c r="P52" s="76">
        <f t="shared" si="31"/>
        <v>0</v>
      </c>
      <c r="Q52" s="76">
        <f t="shared" si="31"/>
        <v>0</v>
      </c>
      <c r="R52" s="76">
        <f t="shared" si="23"/>
        <v>0</v>
      </c>
      <c r="S52" s="76">
        <f t="shared" si="24"/>
        <v>0</v>
      </c>
      <c r="T52" s="76">
        <f t="shared" si="32"/>
        <v>4960000</v>
      </c>
      <c r="U52" s="76">
        <f t="shared" si="25"/>
        <v>520800</v>
      </c>
      <c r="V52" s="76">
        <f t="shared" si="33"/>
        <v>4439200</v>
      </c>
      <c r="W52" s="82"/>
      <c r="X52" s="78"/>
      <c r="Y52" s="79">
        <f t="shared" si="26"/>
        <v>843200.00000000012</v>
      </c>
      <c r="Z52" s="79">
        <f t="shared" si="27"/>
        <v>148800</v>
      </c>
      <c r="AA52" s="79">
        <f t="shared" si="28"/>
        <v>49600</v>
      </c>
      <c r="AB52" s="79">
        <f t="shared" si="3"/>
        <v>24800</v>
      </c>
      <c r="AC52" s="79">
        <f t="shared" si="29"/>
        <v>99200</v>
      </c>
      <c r="AD52" s="8">
        <v>520800</v>
      </c>
      <c r="AE52" s="80">
        <f t="shared" si="11"/>
        <v>0</v>
      </c>
    </row>
    <row r="53" spans="1:31" ht="34.5" customHeight="1">
      <c r="A53" s="125">
        <v>8</v>
      </c>
      <c r="B53" s="81" t="s">
        <v>118</v>
      </c>
      <c r="C53" s="70">
        <v>29269</v>
      </c>
      <c r="D53" s="70" t="s">
        <v>119</v>
      </c>
      <c r="E53" s="65" t="s">
        <v>105</v>
      </c>
      <c r="F53" s="62"/>
      <c r="G53" s="126">
        <v>4960000</v>
      </c>
      <c r="H53" s="62"/>
      <c r="I53" s="62"/>
      <c r="J53" s="83">
        <v>0.15</v>
      </c>
      <c r="K53" s="76"/>
      <c r="L53" s="76"/>
      <c r="M53" s="76"/>
      <c r="N53" s="76">
        <f t="shared" si="30"/>
        <v>4960000</v>
      </c>
      <c r="O53" s="76">
        <f t="shared" si="22"/>
        <v>0</v>
      </c>
      <c r="P53" s="76">
        <f t="shared" si="31"/>
        <v>0</v>
      </c>
      <c r="Q53" s="76">
        <f t="shared" si="31"/>
        <v>351000</v>
      </c>
      <c r="R53" s="76">
        <f t="shared" si="23"/>
        <v>0</v>
      </c>
      <c r="S53" s="76">
        <f t="shared" si="24"/>
        <v>0</v>
      </c>
      <c r="T53" s="76">
        <f t="shared" si="32"/>
        <v>5311000</v>
      </c>
      <c r="U53" s="76">
        <f t="shared" si="25"/>
        <v>520800</v>
      </c>
      <c r="V53" s="76">
        <f t="shared" si="33"/>
        <v>4790200</v>
      </c>
      <c r="W53" s="82"/>
      <c r="X53" s="78"/>
      <c r="Y53" s="79">
        <f t="shared" si="26"/>
        <v>843200.00000000012</v>
      </c>
      <c r="Z53" s="79">
        <f t="shared" si="27"/>
        <v>148800</v>
      </c>
      <c r="AA53" s="79">
        <f t="shared" si="28"/>
        <v>49600</v>
      </c>
      <c r="AB53" s="79">
        <f t="shared" si="3"/>
        <v>24800</v>
      </c>
      <c r="AC53" s="79">
        <f t="shared" si="29"/>
        <v>99200</v>
      </c>
      <c r="AD53" s="8">
        <v>520800</v>
      </c>
      <c r="AE53" s="80">
        <f t="shared" si="11"/>
        <v>0</v>
      </c>
    </row>
    <row r="54" spans="1:31" ht="34.5" customHeight="1">
      <c r="A54" s="125">
        <v>9</v>
      </c>
      <c r="B54" s="81" t="s">
        <v>120</v>
      </c>
      <c r="C54" s="70">
        <v>26748</v>
      </c>
      <c r="D54" s="70" t="s">
        <v>121</v>
      </c>
      <c r="E54" s="65" t="s">
        <v>100</v>
      </c>
      <c r="F54" s="62"/>
      <c r="G54" s="126">
        <v>4960000</v>
      </c>
      <c r="H54" s="62"/>
      <c r="I54" s="62"/>
      <c r="J54" s="83"/>
      <c r="K54" s="76"/>
      <c r="L54" s="76"/>
      <c r="M54" s="76"/>
      <c r="N54" s="76">
        <f t="shared" si="30"/>
        <v>4960000</v>
      </c>
      <c r="O54" s="76">
        <f t="shared" si="22"/>
        <v>0</v>
      </c>
      <c r="P54" s="76">
        <f t="shared" si="31"/>
        <v>0</v>
      </c>
      <c r="Q54" s="76">
        <f t="shared" si="31"/>
        <v>0</v>
      </c>
      <c r="R54" s="76">
        <f t="shared" si="23"/>
        <v>0</v>
      </c>
      <c r="S54" s="76">
        <f t="shared" si="24"/>
        <v>0</v>
      </c>
      <c r="T54" s="76">
        <f t="shared" si="32"/>
        <v>4960000</v>
      </c>
      <c r="U54" s="76">
        <f t="shared" si="25"/>
        <v>520800</v>
      </c>
      <c r="V54" s="76">
        <f t="shared" si="33"/>
        <v>4439200</v>
      </c>
      <c r="W54" s="82"/>
      <c r="X54" s="78"/>
      <c r="Y54" s="79">
        <f t="shared" si="26"/>
        <v>843200.00000000012</v>
      </c>
      <c r="Z54" s="79">
        <f t="shared" si="27"/>
        <v>148800</v>
      </c>
      <c r="AA54" s="79">
        <f t="shared" si="28"/>
        <v>49600</v>
      </c>
      <c r="AB54" s="79">
        <f t="shared" si="3"/>
        <v>24800</v>
      </c>
      <c r="AC54" s="79">
        <f t="shared" si="29"/>
        <v>99200</v>
      </c>
      <c r="AD54" s="8">
        <v>520800</v>
      </c>
      <c r="AE54" s="80">
        <f t="shared" si="11"/>
        <v>0</v>
      </c>
    </row>
    <row r="55" spans="1:31" ht="34.5" customHeight="1">
      <c r="A55" s="65">
        <v>10</v>
      </c>
      <c r="B55" s="81" t="s">
        <v>122</v>
      </c>
      <c r="C55" s="70">
        <v>34208</v>
      </c>
      <c r="D55" s="70" t="s">
        <v>123</v>
      </c>
      <c r="E55" s="65" t="s">
        <v>100</v>
      </c>
      <c r="F55" s="62"/>
      <c r="G55" s="126">
        <v>4960000</v>
      </c>
      <c r="H55" s="62"/>
      <c r="I55" s="62"/>
      <c r="J55" s="76"/>
      <c r="K55" s="76"/>
      <c r="L55" s="76"/>
      <c r="M55" s="76"/>
      <c r="N55" s="76">
        <f t="shared" si="30"/>
        <v>4960000</v>
      </c>
      <c r="O55" s="76">
        <f t="shared" si="22"/>
        <v>0</v>
      </c>
      <c r="P55" s="76">
        <f t="shared" si="31"/>
        <v>0</v>
      </c>
      <c r="Q55" s="76">
        <f t="shared" si="31"/>
        <v>0</v>
      </c>
      <c r="R55" s="76">
        <f t="shared" si="23"/>
        <v>0</v>
      </c>
      <c r="S55" s="76">
        <f t="shared" si="24"/>
        <v>0</v>
      </c>
      <c r="T55" s="76">
        <f t="shared" si="32"/>
        <v>4960000</v>
      </c>
      <c r="U55" s="76">
        <f t="shared" si="25"/>
        <v>520800</v>
      </c>
      <c r="V55" s="76">
        <f>ROUND((T55-U55),0)</f>
        <v>4439200</v>
      </c>
      <c r="W55" s="82"/>
      <c r="X55" s="78"/>
      <c r="Y55" s="79">
        <f t="shared" si="26"/>
        <v>843200.00000000012</v>
      </c>
      <c r="Z55" s="79">
        <f t="shared" si="27"/>
        <v>148800</v>
      </c>
      <c r="AA55" s="79">
        <f t="shared" si="28"/>
        <v>49600</v>
      </c>
      <c r="AB55" s="79">
        <f t="shared" si="3"/>
        <v>24800</v>
      </c>
      <c r="AC55" s="79">
        <f t="shared" si="29"/>
        <v>99200</v>
      </c>
      <c r="AD55" s="8">
        <v>520800</v>
      </c>
      <c r="AE55" s="80">
        <f t="shared" si="11"/>
        <v>0</v>
      </c>
    </row>
    <row r="56" spans="1:31" s="2" customFormat="1">
      <c r="A56" s="110"/>
      <c r="B56" s="110" t="s">
        <v>124</v>
      </c>
      <c r="C56" s="111"/>
      <c r="D56" s="111"/>
      <c r="E56" s="112"/>
      <c r="F56" s="113">
        <f t="shared" ref="F56:U56" si="34">SUM(F46:F55)</f>
        <v>0</v>
      </c>
      <c r="G56" s="127">
        <f t="shared" si="34"/>
        <v>49600000</v>
      </c>
      <c r="H56" s="113">
        <f t="shared" si="34"/>
        <v>0</v>
      </c>
      <c r="I56" s="113">
        <f t="shared" si="34"/>
        <v>0</v>
      </c>
      <c r="J56" s="128">
        <f t="shared" si="34"/>
        <v>0.35</v>
      </c>
      <c r="K56" s="129">
        <f t="shared" si="34"/>
        <v>0</v>
      </c>
      <c r="L56" s="129">
        <f t="shared" si="34"/>
        <v>0</v>
      </c>
      <c r="M56" s="129">
        <f t="shared" si="34"/>
        <v>0</v>
      </c>
      <c r="N56" s="129">
        <f t="shared" si="34"/>
        <v>49600000</v>
      </c>
      <c r="O56" s="129">
        <f t="shared" si="34"/>
        <v>0</v>
      </c>
      <c r="P56" s="129">
        <f t="shared" si="34"/>
        <v>0</v>
      </c>
      <c r="Q56" s="129">
        <f t="shared" si="34"/>
        <v>819000</v>
      </c>
      <c r="R56" s="129">
        <f t="shared" si="34"/>
        <v>0</v>
      </c>
      <c r="S56" s="129">
        <f t="shared" si="34"/>
        <v>0</v>
      </c>
      <c r="T56" s="129">
        <f t="shared" si="34"/>
        <v>50419000</v>
      </c>
      <c r="U56" s="129">
        <f t="shared" si="34"/>
        <v>5208000</v>
      </c>
      <c r="V56" s="129">
        <f>SUM(V46:V55)</f>
        <v>45211000</v>
      </c>
      <c r="W56" s="129"/>
      <c r="X56" s="78"/>
      <c r="Y56" s="118">
        <f>SUM(Y46:Y55)</f>
        <v>8432000.0000000019</v>
      </c>
      <c r="Z56" s="118">
        <f>SUM(Z46:Z55)</f>
        <v>1488000</v>
      </c>
      <c r="AA56" s="118">
        <f>SUM(AA46:AA55)</f>
        <v>496000</v>
      </c>
      <c r="AB56" s="79">
        <f t="shared" si="3"/>
        <v>248000</v>
      </c>
      <c r="AC56" s="118">
        <f>SUM(AC46:AC55)</f>
        <v>992000</v>
      </c>
      <c r="AD56" s="89"/>
      <c r="AE56" s="80">
        <f t="shared" si="11"/>
        <v>5208000</v>
      </c>
    </row>
    <row r="57" spans="1:31" s="2" customFormat="1">
      <c r="A57" s="130" t="s">
        <v>125</v>
      </c>
      <c r="B57" s="131" t="s">
        <v>126</v>
      </c>
      <c r="C57" s="132"/>
      <c r="D57" s="133"/>
      <c r="E57" s="86"/>
      <c r="F57" s="113"/>
      <c r="G57" s="113"/>
      <c r="H57" s="114"/>
      <c r="I57" s="115"/>
      <c r="J57" s="115"/>
      <c r="K57" s="116"/>
      <c r="L57" s="114"/>
      <c r="M57" s="115"/>
      <c r="N57" s="117"/>
      <c r="O57" s="117"/>
      <c r="P57" s="117"/>
      <c r="Q57" s="117"/>
      <c r="R57" s="117"/>
      <c r="S57" s="117"/>
      <c r="T57" s="117"/>
      <c r="U57" s="117"/>
      <c r="V57" s="117"/>
      <c r="W57" s="134"/>
      <c r="X57" s="78"/>
      <c r="Y57" s="118"/>
      <c r="Z57" s="118"/>
      <c r="AA57" s="118"/>
      <c r="AB57" s="79">
        <f t="shared" si="3"/>
        <v>0</v>
      </c>
      <c r="AC57" s="118"/>
      <c r="AD57" s="89"/>
      <c r="AE57" s="80">
        <f t="shared" si="11"/>
        <v>0</v>
      </c>
    </row>
    <row r="58" spans="1:31" s="2" customFormat="1" ht="21" customHeight="1">
      <c r="A58" s="65">
        <v>1</v>
      </c>
      <c r="B58" s="135"/>
      <c r="C58" s="136"/>
      <c r="D58" s="137"/>
      <c r="E58" s="137"/>
      <c r="F58" s="62"/>
      <c r="G58" s="62"/>
      <c r="H58" s="62"/>
      <c r="I58" s="62"/>
      <c r="J58" s="62">
        <v>0</v>
      </c>
      <c r="K58" s="138"/>
      <c r="L58" s="76"/>
      <c r="M58" s="62"/>
      <c r="N58" s="76">
        <f>F58*2340000</f>
        <v>0</v>
      </c>
      <c r="O58" s="76">
        <f>H58*F58*1800000</f>
        <v>0</v>
      </c>
      <c r="P58" s="76">
        <f>I58*1800000</f>
        <v>0</v>
      </c>
      <c r="Q58" s="139"/>
      <c r="R58" s="139">
        <f>K58*1800000</f>
        <v>0</v>
      </c>
      <c r="S58" s="76">
        <f>M58*1800000</f>
        <v>0</v>
      </c>
      <c r="T58" s="76">
        <f>SUM(N58:S58)</f>
        <v>0</v>
      </c>
      <c r="U58" s="76">
        <f>(N58+O58+P58+S58)*10.5%</f>
        <v>0</v>
      </c>
      <c r="V58" s="76">
        <f>ROUND((T58-U58),0)</f>
        <v>0</v>
      </c>
      <c r="W58" s="82"/>
      <c r="X58" s="78"/>
      <c r="Y58" s="79">
        <f>(N58+O58+P58+S58)*17.5%</f>
        <v>0</v>
      </c>
      <c r="Z58" s="79">
        <f>(N58+O58+P58+S58)*3%</f>
        <v>0</v>
      </c>
      <c r="AA58" s="79">
        <f>(N58+O58+P58+S58)*1%</f>
        <v>0</v>
      </c>
      <c r="AB58" s="79">
        <f t="shared" si="3"/>
        <v>0</v>
      </c>
      <c r="AC58" s="79">
        <f>(N58+O58+P58+S58)*2%</f>
        <v>0</v>
      </c>
      <c r="AD58" s="89"/>
      <c r="AE58" s="80">
        <f t="shared" si="11"/>
        <v>0</v>
      </c>
    </row>
    <row r="59" spans="1:31" s="2" customFormat="1" ht="26.25" customHeight="1">
      <c r="A59" s="110"/>
      <c r="B59" s="110" t="s">
        <v>127</v>
      </c>
      <c r="C59" s="111"/>
      <c r="D59" s="111"/>
      <c r="E59" s="112"/>
      <c r="F59" s="140">
        <f>F58</f>
        <v>0</v>
      </c>
      <c r="G59" s="140"/>
      <c r="H59" s="127">
        <f t="shared" ref="H59:V59" si="35">H58</f>
        <v>0</v>
      </c>
      <c r="I59" s="127">
        <f t="shared" si="35"/>
        <v>0</v>
      </c>
      <c r="J59" s="141">
        <f t="shared" si="35"/>
        <v>0</v>
      </c>
      <c r="K59" s="127">
        <f t="shared" si="35"/>
        <v>0</v>
      </c>
      <c r="L59" s="127">
        <f t="shared" si="35"/>
        <v>0</v>
      </c>
      <c r="M59" s="127">
        <f t="shared" si="35"/>
        <v>0</v>
      </c>
      <c r="N59" s="127">
        <f t="shared" si="35"/>
        <v>0</v>
      </c>
      <c r="O59" s="127">
        <f t="shared" si="35"/>
        <v>0</v>
      </c>
      <c r="P59" s="127">
        <f t="shared" si="35"/>
        <v>0</v>
      </c>
      <c r="Q59" s="142">
        <f t="shared" si="35"/>
        <v>0</v>
      </c>
      <c r="R59" s="142">
        <f t="shared" si="35"/>
        <v>0</v>
      </c>
      <c r="S59" s="127">
        <f t="shared" si="35"/>
        <v>0</v>
      </c>
      <c r="T59" s="127">
        <f t="shared" si="35"/>
        <v>0</v>
      </c>
      <c r="U59" s="127">
        <f t="shared" si="35"/>
        <v>0</v>
      </c>
      <c r="V59" s="127">
        <f t="shared" si="35"/>
        <v>0</v>
      </c>
      <c r="W59" s="129">
        <f>SUM(W49:W58)</f>
        <v>0</v>
      </c>
      <c r="X59" s="78"/>
      <c r="Y59" s="118">
        <f>Y58</f>
        <v>0</v>
      </c>
      <c r="Z59" s="118">
        <f>Z58</f>
        <v>0</v>
      </c>
      <c r="AA59" s="118">
        <f>AA58</f>
        <v>0</v>
      </c>
      <c r="AB59" s="79">
        <f t="shared" si="3"/>
        <v>0</v>
      </c>
      <c r="AC59" s="118">
        <f>AC58</f>
        <v>0</v>
      </c>
      <c r="AD59" s="89"/>
      <c r="AE59" s="80">
        <f t="shared" si="11"/>
        <v>0</v>
      </c>
    </row>
    <row r="60" spans="1:31" s="2" customFormat="1" ht="21.75" customHeight="1">
      <c r="A60" s="130" t="s">
        <v>128</v>
      </c>
      <c r="B60" s="143" t="s">
        <v>129</v>
      </c>
      <c r="C60" s="144"/>
      <c r="D60" s="144"/>
      <c r="E60" s="144"/>
      <c r="F60" s="144"/>
      <c r="G60" s="144"/>
      <c r="H60" s="144"/>
      <c r="I60" s="144"/>
      <c r="J60" s="144"/>
      <c r="K60" s="144"/>
      <c r="L60" s="144"/>
      <c r="M60" s="144"/>
      <c r="N60" s="144"/>
      <c r="O60" s="144"/>
      <c r="P60" s="145"/>
      <c r="Q60" s="146"/>
      <c r="R60" s="146"/>
      <c r="S60" s="117"/>
      <c r="T60" s="117"/>
      <c r="U60" s="117"/>
      <c r="V60" s="117"/>
      <c r="W60" s="134"/>
      <c r="X60" s="78"/>
      <c r="Y60" s="118"/>
      <c r="Z60" s="118"/>
      <c r="AA60" s="118"/>
      <c r="AB60" s="79">
        <f t="shared" si="3"/>
        <v>0</v>
      </c>
      <c r="AC60" s="118"/>
      <c r="AD60" s="89"/>
      <c r="AE60" s="80">
        <f t="shared" si="11"/>
        <v>0</v>
      </c>
    </row>
    <row r="61" spans="1:31" ht="24" customHeight="1">
      <c r="A61" s="125"/>
      <c r="B61" s="81"/>
      <c r="C61" s="70"/>
      <c r="D61" s="70"/>
      <c r="E61" s="65"/>
      <c r="F61" s="62"/>
      <c r="G61" s="126"/>
      <c r="H61" s="62"/>
      <c r="I61" s="62"/>
      <c r="J61" s="76"/>
      <c r="K61" s="76"/>
      <c r="L61" s="76"/>
      <c r="M61" s="76"/>
      <c r="N61" s="76"/>
      <c r="O61" s="76"/>
      <c r="P61" s="76"/>
      <c r="Q61" s="76"/>
      <c r="R61" s="76"/>
      <c r="S61" s="76"/>
      <c r="T61" s="76"/>
      <c r="U61" s="76"/>
      <c r="V61" s="76"/>
      <c r="W61" s="147"/>
      <c r="X61" s="78"/>
      <c r="Y61" s="79"/>
      <c r="Z61" s="79"/>
      <c r="AA61" s="79"/>
      <c r="AB61" s="79">
        <f t="shared" si="3"/>
        <v>0</v>
      </c>
      <c r="AC61" s="79"/>
      <c r="AE61" s="80">
        <f t="shared" si="11"/>
        <v>0</v>
      </c>
    </row>
    <row r="62" spans="1:31" s="2" customFormat="1" ht="19.5" customHeight="1">
      <c r="A62" s="148" t="e">
        <f>A44+#REF!+#REF!</f>
        <v>#REF!</v>
      </c>
      <c r="B62" s="149" t="s">
        <v>130</v>
      </c>
      <c r="C62" s="111"/>
      <c r="D62" s="111"/>
      <c r="E62" s="150"/>
      <c r="F62" s="128">
        <f>F44+F56+F58+F61</f>
        <v>116.69999999999999</v>
      </c>
      <c r="G62" s="128"/>
      <c r="H62" s="128">
        <f t="shared" ref="H62:W62" si="36">H44+H56+H58+H61</f>
        <v>0.24</v>
      </c>
      <c r="I62" s="128">
        <f t="shared" si="36"/>
        <v>1.2</v>
      </c>
      <c r="J62" s="128">
        <f t="shared" si="36"/>
        <v>2.0499999999999998</v>
      </c>
      <c r="K62" s="151">
        <f t="shared" si="36"/>
        <v>39.227999999999987</v>
      </c>
      <c r="L62" s="128">
        <f t="shared" si="36"/>
        <v>4.9099999999999993</v>
      </c>
      <c r="M62" s="151">
        <f t="shared" si="36"/>
        <v>18.4861</v>
      </c>
      <c r="N62" s="129">
        <f>N44+N56+N58+N61</f>
        <v>322678000</v>
      </c>
      <c r="O62" s="129">
        <f t="shared" si="36"/>
        <v>1954367.9999999998</v>
      </c>
      <c r="P62" s="129">
        <f t="shared" si="36"/>
        <v>2808000</v>
      </c>
      <c r="Q62" s="129">
        <f t="shared" si="36"/>
        <v>4797000</v>
      </c>
      <c r="R62" s="129">
        <f t="shared" si="36"/>
        <v>91793520</v>
      </c>
      <c r="S62" s="129">
        <f t="shared" si="36"/>
        <v>43257474</v>
      </c>
      <c r="T62" s="129">
        <f t="shared" si="36"/>
        <v>467288362</v>
      </c>
      <c r="U62" s="129">
        <f t="shared" si="36"/>
        <v>38923273</v>
      </c>
      <c r="V62" s="129">
        <f>V44+V56+V58+V61</f>
        <v>428365090</v>
      </c>
      <c r="W62" s="129">
        <f t="shared" si="36"/>
        <v>0</v>
      </c>
      <c r="X62" s="78"/>
      <c r="Y62" s="118">
        <f>ROUND(Y44+Y56+Y58,0)</f>
        <v>63018633</v>
      </c>
      <c r="Z62" s="118">
        <f t="shared" ref="Z62:AC62" si="37">ROUND(Z44+Z56+Z58,0)</f>
        <v>11120935</v>
      </c>
      <c r="AA62" s="118">
        <f t="shared" si="37"/>
        <v>3706978</v>
      </c>
      <c r="AB62" s="118">
        <f t="shared" si="37"/>
        <v>1853489</v>
      </c>
      <c r="AC62" s="118">
        <f t="shared" si="37"/>
        <v>7413957</v>
      </c>
      <c r="AD62" s="89"/>
      <c r="AE62" s="80">
        <f t="shared" si="11"/>
        <v>38923273</v>
      </c>
    </row>
    <row r="63" spans="1:31" ht="21.75" customHeight="1">
      <c r="A63" s="152"/>
      <c r="B63" s="153" t="s">
        <v>131</v>
      </c>
      <c r="C63" s="154" t="str">
        <f>[1]!vnd(V62)</f>
        <v>Bốn trăm hai mươi tám triệu, ba trăm sáu mươi lăm nghìn, không trăm chín mươi đồng chẵn.</v>
      </c>
      <c r="D63" s="154"/>
      <c r="E63" s="152"/>
      <c r="F63" s="152"/>
      <c r="G63" s="152"/>
      <c r="H63" s="152"/>
      <c r="I63" s="152"/>
      <c r="J63" s="152"/>
      <c r="K63" s="152"/>
      <c r="L63" s="152"/>
      <c r="M63" s="152"/>
      <c r="N63" s="152"/>
      <c r="O63" s="152"/>
      <c r="P63" s="152"/>
      <c r="Q63" s="152"/>
      <c r="R63" s="152"/>
      <c r="S63" s="152"/>
      <c r="T63" s="152"/>
      <c r="U63" s="152"/>
      <c r="V63" s="155"/>
      <c r="W63" s="156"/>
      <c r="X63" s="78"/>
      <c r="Y63" s="157"/>
      <c r="Z63" s="157"/>
      <c r="AA63" s="157">
        <f>U62+Y62+Z62+AA62</f>
        <v>116769819</v>
      </c>
      <c r="AB63" s="79">
        <f>(N63+O63+P63+S63)*0.5%</f>
        <v>0</v>
      </c>
      <c r="AC63" s="80">
        <f>AC59+AC56</f>
        <v>992000</v>
      </c>
      <c r="AE63" s="80">
        <f t="shared" si="11"/>
        <v>0</v>
      </c>
    </row>
    <row r="64" spans="1:31" ht="6" customHeight="1">
      <c r="A64" s="11"/>
      <c r="B64" s="158"/>
      <c r="C64" s="158"/>
      <c r="D64" s="158"/>
      <c r="E64" s="158"/>
      <c r="F64" s="158"/>
      <c r="G64" s="158"/>
      <c r="H64" s="158"/>
      <c r="I64" s="158"/>
      <c r="J64" s="159"/>
      <c r="K64" s="159"/>
      <c r="L64" s="159"/>
      <c r="M64" s="159"/>
      <c r="N64" s="160"/>
      <c r="O64" s="160"/>
      <c r="P64" s="160"/>
      <c r="Q64" s="160"/>
      <c r="R64" s="160"/>
      <c r="S64" s="160"/>
      <c r="T64" s="161"/>
      <c r="U64" s="161"/>
      <c r="V64" s="161"/>
      <c r="Y64" s="157"/>
      <c r="Z64" s="162"/>
    </row>
    <row r="65" spans="1:31" ht="18.75" customHeight="1">
      <c r="A65" s="11"/>
      <c r="B65" s="163"/>
      <c r="C65" s="163"/>
      <c r="D65" s="163"/>
      <c r="E65" s="163"/>
      <c r="F65" s="164"/>
      <c r="G65" s="164"/>
      <c r="H65" s="163"/>
      <c r="I65" s="158"/>
      <c r="J65" s="165"/>
      <c r="K65" s="165"/>
      <c r="L65" s="165"/>
      <c r="M65" s="165"/>
      <c r="N65" s="166"/>
      <c r="O65" s="166"/>
      <c r="P65" s="166"/>
      <c r="Q65" s="166"/>
      <c r="R65" s="167" t="s">
        <v>148</v>
      </c>
      <c r="S65" s="167"/>
      <c r="T65" s="167"/>
      <c r="U65" s="167"/>
      <c r="V65" s="167"/>
      <c r="W65" s="168"/>
      <c r="X65" s="168"/>
      <c r="Y65" s="169" t="s">
        <v>133</v>
      </c>
      <c r="Z65" s="170"/>
      <c r="AA65" s="171" t="s">
        <v>134</v>
      </c>
      <c r="AB65" s="172"/>
      <c r="AC65" s="173"/>
      <c r="AD65" s="8">
        <f>F43*H43</f>
        <v>0.83519999999999994</v>
      </c>
    </row>
    <row r="66" spans="1:31" ht="21" customHeight="1">
      <c r="A66" s="11"/>
      <c r="B66" s="174" t="s">
        <v>135</v>
      </c>
      <c r="C66" s="174"/>
      <c r="D66" s="163"/>
      <c r="E66" s="158"/>
      <c r="F66" s="158"/>
      <c r="G66" s="158"/>
      <c r="H66" s="158"/>
      <c r="I66" s="175"/>
      <c r="J66" s="158"/>
      <c r="K66" s="158"/>
      <c r="L66" s="158"/>
      <c r="M66" s="158"/>
      <c r="N66" s="176"/>
      <c r="O66" s="159"/>
      <c r="P66" s="159"/>
      <c r="Q66" s="159"/>
      <c r="R66" s="177" t="s">
        <v>136</v>
      </c>
      <c r="S66" s="177"/>
      <c r="T66" s="177"/>
      <c r="U66" s="177"/>
      <c r="V66" s="177"/>
      <c r="Y66" s="79">
        <v>6001</v>
      </c>
      <c r="Z66" s="178">
        <f>N44-AC66</f>
        <v>244404810</v>
      </c>
      <c r="AA66" s="79">
        <v>6001</v>
      </c>
      <c r="AB66" s="79"/>
      <c r="AC66" s="183">
        <f>(F44)*2340000*10.5%</f>
        <v>28673190</v>
      </c>
      <c r="AD66" s="8">
        <f>AC66+AC67+AC71+AC72</f>
        <v>38628433.409999996</v>
      </c>
      <c r="AE66" s="80">
        <f>AC66+AC71+AC72+AC67</f>
        <v>38628433.409999996</v>
      </c>
    </row>
    <row r="67" spans="1:31" ht="22.5" customHeight="1">
      <c r="A67" s="11"/>
      <c r="B67" s="180"/>
      <c r="C67" s="180"/>
      <c r="D67" s="180"/>
      <c r="E67" s="158"/>
      <c r="F67" s="158"/>
      <c r="G67" s="158"/>
      <c r="H67" s="158"/>
      <c r="I67" s="175"/>
      <c r="J67" s="159"/>
      <c r="K67" s="159"/>
      <c r="L67" s="159"/>
      <c r="M67" s="159"/>
      <c r="N67" s="159"/>
      <c r="O67" s="159"/>
      <c r="P67" s="159"/>
      <c r="Q67" s="159"/>
      <c r="R67" s="4"/>
      <c r="S67" s="4"/>
      <c r="T67" s="4"/>
      <c r="U67" s="4"/>
      <c r="V67" s="4"/>
      <c r="Y67" s="79">
        <v>6051</v>
      </c>
      <c r="Z67" s="178">
        <f>(N56+N61+P56+Q56+Q61)-AC67</f>
        <v>45211000</v>
      </c>
      <c r="AA67" s="79">
        <v>6051</v>
      </c>
      <c r="AB67" s="79"/>
      <c r="AC67" s="183">
        <f>(N56+N61)*10.5%</f>
        <v>5208000</v>
      </c>
    </row>
    <row r="68" spans="1:31" ht="22.5" customHeight="1">
      <c r="A68" s="11"/>
      <c r="B68" s="163"/>
      <c r="C68" s="163"/>
      <c r="D68" s="163"/>
      <c r="E68" s="158"/>
      <c r="F68" s="158"/>
      <c r="G68" s="158"/>
      <c r="H68" s="158"/>
      <c r="I68" s="175"/>
      <c r="J68" s="159"/>
      <c r="K68" s="159"/>
      <c r="L68" s="159"/>
      <c r="M68" s="159"/>
      <c r="N68" s="159"/>
      <c r="O68" s="159"/>
      <c r="P68" s="159"/>
      <c r="Q68" s="159"/>
      <c r="R68" s="4"/>
      <c r="S68" s="4"/>
      <c r="T68" s="4"/>
      <c r="U68" s="4"/>
      <c r="V68" s="4"/>
      <c r="Y68" s="79">
        <v>6101</v>
      </c>
      <c r="Z68" s="79">
        <f>P44-(P44*10.5%)</f>
        <v>2513160</v>
      </c>
      <c r="AA68" s="79">
        <v>6301</v>
      </c>
      <c r="AB68" s="79"/>
      <c r="AC68" s="183">
        <f>(N62+O62+P62+S62)*17%</f>
        <v>63018633.140000008</v>
      </c>
    </row>
    <row r="69" spans="1:31" ht="22.5" customHeight="1">
      <c r="A69" s="11"/>
      <c r="E69" s="158"/>
      <c r="F69" s="158"/>
      <c r="G69" s="158"/>
      <c r="H69" s="158"/>
      <c r="I69" s="175"/>
      <c r="J69" s="159"/>
      <c r="K69" s="159"/>
      <c r="L69" s="159"/>
      <c r="M69" s="159"/>
      <c r="N69" s="159"/>
      <c r="O69" s="159"/>
      <c r="P69" s="159"/>
      <c r="Q69" s="159"/>
      <c r="R69" s="4"/>
      <c r="S69" s="4"/>
      <c r="T69" s="4"/>
      <c r="U69" s="4"/>
      <c r="V69" s="4"/>
      <c r="Y69" s="181">
        <v>6112</v>
      </c>
      <c r="Z69" s="79">
        <f>R62</f>
        <v>91793520</v>
      </c>
      <c r="AA69" s="79">
        <v>6302</v>
      </c>
      <c r="AB69" s="79"/>
      <c r="AC69" s="183">
        <f>(N62+O62+P62+S62)*3%</f>
        <v>11120935.26</v>
      </c>
    </row>
    <row r="70" spans="1:31" ht="24.75" customHeight="1">
      <c r="A70" s="11"/>
      <c r="B70" s="174" t="s">
        <v>137</v>
      </c>
      <c r="C70" s="174"/>
      <c r="D70" s="163"/>
      <c r="E70" s="163"/>
      <c r="F70" s="163"/>
      <c r="G70" s="163"/>
      <c r="H70" s="163"/>
      <c r="I70" s="180"/>
      <c r="J70" s="182"/>
      <c r="K70" s="182"/>
      <c r="L70" s="182"/>
      <c r="M70" s="182"/>
      <c r="N70" s="182"/>
      <c r="O70" s="182"/>
      <c r="P70" s="182"/>
      <c r="Q70" s="158"/>
      <c r="R70" s="13" t="s">
        <v>27</v>
      </c>
      <c r="S70" s="13"/>
      <c r="T70" s="13"/>
      <c r="U70" s="13"/>
      <c r="V70" s="13"/>
      <c r="Y70" s="181">
        <v>6113</v>
      </c>
      <c r="Z70" s="79">
        <f>Q44</f>
        <v>3978000</v>
      </c>
      <c r="AA70" s="181">
        <v>6304</v>
      </c>
      <c r="AB70" s="181"/>
      <c r="AC70" s="183">
        <f>(N62+O62+P62+S62)*1%</f>
        <v>3706978.42</v>
      </c>
    </row>
    <row r="71" spans="1:31" ht="15.75" customHeight="1">
      <c r="E71" s="158"/>
      <c r="F71" s="158"/>
      <c r="G71" s="158"/>
      <c r="H71" s="158"/>
      <c r="I71" s="158"/>
      <c r="J71" s="158"/>
      <c r="K71" s="158"/>
      <c r="L71" s="158"/>
      <c r="M71" s="158"/>
      <c r="N71" s="158"/>
      <c r="O71" s="158"/>
      <c r="P71" s="158"/>
      <c r="Q71" s="158"/>
      <c r="T71" s="14"/>
      <c r="Y71" s="181">
        <v>6115</v>
      </c>
      <c r="Z71" s="79">
        <f>S62-AC71+2</f>
        <v>38715441.230000004</v>
      </c>
      <c r="AA71" s="181">
        <v>6115</v>
      </c>
      <c r="AB71" s="181"/>
      <c r="AC71" s="183">
        <f>M44*2340000*10.5%</f>
        <v>4542034.7699999996</v>
      </c>
      <c r="AD71" s="8" t="s">
        <v>138</v>
      </c>
    </row>
    <row r="72" spans="1:31" ht="21" customHeight="1">
      <c r="E72" s="158"/>
      <c r="F72" s="158"/>
      <c r="G72" s="158"/>
      <c r="H72" s="158"/>
      <c r="I72" s="158"/>
      <c r="J72" s="158"/>
      <c r="K72" s="158"/>
      <c r="L72" s="158"/>
      <c r="M72" s="158"/>
      <c r="N72" s="158"/>
      <c r="O72" s="158"/>
      <c r="P72" s="158"/>
      <c r="Q72" s="158"/>
      <c r="Y72" s="181">
        <v>6115</v>
      </c>
      <c r="Z72" s="79">
        <f>O62-AC72-1</f>
        <v>1749158.3599999999</v>
      </c>
      <c r="AA72" s="181">
        <v>6115</v>
      </c>
      <c r="AB72" s="181"/>
      <c r="AC72" s="183">
        <f>O43*10.5%</f>
        <v>205208.63999999996</v>
      </c>
      <c r="AD72" s="8" t="s">
        <v>139</v>
      </c>
    </row>
    <row r="73" spans="1:31" ht="33" customHeight="1">
      <c r="E73" s="158"/>
      <c r="F73" s="158"/>
      <c r="G73" s="158"/>
      <c r="H73" s="158"/>
      <c r="I73" s="158"/>
      <c r="J73" s="158"/>
      <c r="K73" s="158"/>
      <c r="L73" s="158"/>
      <c r="M73" s="158"/>
      <c r="N73" s="158"/>
      <c r="O73" s="158"/>
      <c r="P73" s="158"/>
      <c r="Q73" s="158"/>
      <c r="T73" s="14"/>
      <c r="Y73" s="79"/>
      <c r="Z73" s="178"/>
      <c r="AA73" s="184">
        <v>6349</v>
      </c>
      <c r="AB73" s="184"/>
      <c r="AC73" s="183">
        <f>(N62+O62+P62+S62)*0.5%</f>
        <v>1853489.21</v>
      </c>
      <c r="AD73" s="8" t="s">
        <v>140</v>
      </c>
    </row>
    <row r="74" spans="1:31" ht="18" customHeight="1">
      <c r="E74" s="158"/>
      <c r="F74" s="158"/>
      <c r="G74" s="158"/>
      <c r="H74" s="158"/>
      <c r="I74" s="158"/>
      <c r="J74" s="158"/>
      <c r="K74" s="158"/>
      <c r="L74" s="158"/>
      <c r="M74" s="158"/>
      <c r="N74" s="158"/>
      <c r="O74" s="158"/>
      <c r="P74" s="158"/>
      <c r="Q74" s="158"/>
      <c r="Y74" s="79"/>
      <c r="Z74" s="79"/>
      <c r="AA74" s="185">
        <v>6001</v>
      </c>
      <c r="AB74" s="185"/>
      <c r="AC74" s="185">
        <f>P44*10.5%</f>
        <v>294840</v>
      </c>
      <c r="AD74" s="8" t="s">
        <v>141</v>
      </c>
    </row>
    <row r="75" spans="1:31" ht="26.25" customHeight="1">
      <c r="E75" s="158"/>
      <c r="F75" s="158"/>
      <c r="G75" s="158"/>
      <c r="H75" s="158"/>
      <c r="I75" s="158"/>
      <c r="J75" s="158"/>
      <c r="K75" s="158"/>
      <c r="L75" s="158"/>
      <c r="M75" s="158"/>
      <c r="N75" s="158"/>
      <c r="O75" s="158"/>
      <c r="P75" s="158"/>
      <c r="Q75" s="158"/>
      <c r="T75" s="14"/>
      <c r="Y75" s="79"/>
      <c r="Z75" s="79"/>
      <c r="AA75" s="186"/>
      <c r="AB75" s="186"/>
      <c r="AC75" s="187"/>
    </row>
    <row r="76" spans="1:31" ht="24" customHeight="1">
      <c r="E76" s="158"/>
      <c r="F76" s="158"/>
      <c r="G76" s="158"/>
      <c r="H76" s="158"/>
      <c r="I76" s="158"/>
      <c r="J76" s="158"/>
      <c r="K76" s="158"/>
      <c r="L76" s="158"/>
      <c r="M76" s="158"/>
      <c r="N76" s="158"/>
      <c r="O76" s="158"/>
      <c r="P76" s="158"/>
      <c r="Q76" s="158"/>
      <c r="T76" s="14"/>
      <c r="V76" s="188"/>
      <c r="Y76" s="79"/>
      <c r="Z76" s="189">
        <f>SUM(Z66:Z75)</f>
        <v>428365089.59000003</v>
      </c>
      <c r="AA76" s="189"/>
      <c r="AB76" s="189">
        <f t="shared" ref="AB76" si="38">SUM(AB66:AB75)</f>
        <v>0</v>
      </c>
      <c r="AC76" s="189">
        <f>SUM(AC66:AC75)</f>
        <v>118623309.44000001</v>
      </c>
    </row>
    <row r="77" spans="1:31" ht="18.75" hidden="1" customHeight="1">
      <c r="E77" s="158"/>
      <c r="F77" s="158"/>
      <c r="G77" s="158"/>
      <c r="H77" s="158"/>
      <c r="I77" s="158"/>
      <c r="J77" s="158"/>
      <c r="K77" s="158"/>
      <c r="L77" s="158"/>
      <c r="M77" s="158"/>
      <c r="N77" s="158"/>
      <c r="O77" s="158"/>
      <c r="P77" s="158"/>
      <c r="Q77" s="158"/>
      <c r="T77" s="14"/>
      <c r="U77" s="190" t="s">
        <v>142</v>
      </c>
      <c r="V77" s="190"/>
      <c r="Y77" s="169" t="s">
        <v>133</v>
      </c>
      <c r="Z77" s="170"/>
      <c r="AA77" s="157"/>
      <c r="AB77" s="157"/>
      <c r="AC77" s="191">
        <f>SUM(AC66:AC76)</f>
        <v>237246618.88000003</v>
      </c>
    </row>
    <row r="78" spans="1:31" ht="18.75" hidden="1" customHeight="1">
      <c r="E78" s="158"/>
      <c r="F78" s="158"/>
      <c r="G78" s="158"/>
      <c r="H78" s="158"/>
      <c r="I78" s="158"/>
      <c r="J78" s="158"/>
      <c r="K78" s="158"/>
      <c r="L78" s="158"/>
      <c r="M78" s="158"/>
      <c r="N78" s="158"/>
      <c r="O78" s="158"/>
      <c r="P78" s="158"/>
      <c r="Q78" s="158"/>
      <c r="S78" s="80"/>
      <c r="T78" s="14"/>
      <c r="U78" s="192">
        <v>6001</v>
      </c>
      <c r="V78" s="192">
        <f>AC66</f>
        <v>28673190</v>
      </c>
      <c r="Y78" s="79">
        <v>6001</v>
      </c>
      <c r="Z78" s="79">
        <f>N44-V78</f>
        <v>244404810</v>
      </c>
    </row>
    <row r="79" spans="1:31" ht="18.75" hidden="1" customHeight="1">
      <c r="E79" s="158"/>
      <c r="F79" s="158"/>
      <c r="G79" s="158"/>
      <c r="H79" s="158"/>
      <c r="I79" s="158"/>
      <c r="J79" s="158"/>
      <c r="K79" s="158"/>
      <c r="L79" s="158"/>
      <c r="M79" s="158"/>
      <c r="N79" s="158"/>
      <c r="O79" s="158"/>
      <c r="P79" s="158"/>
      <c r="Q79" s="158"/>
      <c r="S79" s="80"/>
      <c r="T79" s="14"/>
      <c r="U79" s="192">
        <v>6051</v>
      </c>
      <c r="V79" s="192">
        <f>AC67</f>
        <v>5208000</v>
      </c>
      <c r="Y79" s="79">
        <v>6051</v>
      </c>
      <c r="Z79" s="79">
        <f>N56+N59+P56+Q56+Q59-V79</f>
        <v>45211000</v>
      </c>
    </row>
    <row r="80" spans="1:31" ht="18.75" hidden="1" customHeight="1">
      <c r="E80" s="158"/>
      <c r="F80" s="158"/>
      <c r="G80" s="158"/>
      <c r="H80" s="158"/>
      <c r="I80" s="158"/>
      <c r="J80" s="158"/>
      <c r="K80" s="158"/>
      <c r="L80" s="158"/>
      <c r="M80" s="158"/>
      <c r="N80" s="158"/>
      <c r="O80" s="158"/>
      <c r="P80" s="158"/>
      <c r="Q80" s="158"/>
      <c r="S80" s="80"/>
      <c r="T80" s="14"/>
      <c r="U80" s="192">
        <v>6101</v>
      </c>
      <c r="V80" s="192">
        <f>AC76</f>
        <v>118623309.44000001</v>
      </c>
      <c r="Y80" s="79">
        <v>6101</v>
      </c>
      <c r="Z80" s="79">
        <f>P44-V80</f>
        <v>-115815309.44000001</v>
      </c>
    </row>
    <row r="81" spans="1:29" ht="18.75" hidden="1" customHeight="1">
      <c r="E81" s="158"/>
      <c r="F81" s="158"/>
      <c r="G81" s="158"/>
      <c r="H81" s="158"/>
      <c r="I81" s="158"/>
      <c r="J81" s="158"/>
      <c r="K81" s="158"/>
      <c r="L81" s="158"/>
      <c r="M81" s="158"/>
      <c r="N81" s="158"/>
      <c r="O81" s="158"/>
      <c r="P81" s="158"/>
      <c r="Q81" s="158"/>
      <c r="S81" s="80"/>
      <c r="T81" s="14"/>
      <c r="U81" s="192">
        <v>6115</v>
      </c>
      <c r="V81" s="192">
        <f>AC71</f>
        <v>4542034.7699999996</v>
      </c>
      <c r="Y81" s="181">
        <v>6112</v>
      </c>
      <c r="Z81" s="79">
        <f>R44</f>
        <v>91793520</v>
      </c>
      <c r="AC81" s="188">
        <f>Z76-V62</f>
        <v>-0.40999996662139893</v>
      </c>
    </row>
    <row r="82" spans="1:29" ht="18.75" hidden="1" customHeight="1">
      <c r="E82" s="158"/>
      <c r="F82" s="158"/>
      <c r="G82" s="158"/>
      <c r="H82" s="158"/>
      <c r="I82" s="158"/>
      <c r="J82" s="158"/>
      <c r="K82" s="158"/>
      <c r="L82" s="158"/>
      <c r="M82" s="158"/>
      <c r="N82" s="158"/>
      <c r="O82" s="158"/>
      <c r="P82" s="158"/>
      <c r="Q82" s="158"/>
      <c r="S82" s="80"/>
      <c r="T82" s="14"/>
      <c r="U82" s="192">
        <v>6115</v>
      </c>
      <c r="V82" s="192">
        <f>AC72</f>
        <v>205208.63999999996</v>
      </c>
      <c r="Y82" s="181"/>
      <c r="Z82" s="79"/>
      <c r="AC82" s="188"/>
    </row>
    <row r="83" spans="1:29" ht="18.75" hidden="1" customHeight="1">
      <c r="E83" s="158"/>
      <c r="F83" s="158"/>
      <c r="G83" s="158"/>
      <c r="H83" s="158"/>
      <c r="I83" s="158"/>
      <c r="J83" s="158"/>
      <c r="K83" s="158"/>
      <c r="L83" s="158"/>
      <c r="M83" s="158"/>
      <c r="N83" s="158"/>
      <c r="O83" s="158"/>
      <c r="P83" s="158"/>
      <c r="Q83" s="158"/>
      <c r="S83" s="80"/>
      <c r="T83" s="14"/>
      <c r="U83" s="193">
        <v>6301</v>
      </c>
      <c r="V83" s="192">
        <f>AC68</f>
        <v>63018633.140000008</v>
      </c>
      <c r="Y83" s="181">
        <v>6113</v>
      </c>
      <c r="Z83" s="79">
        <f>Q44</f>
        <v>3978000</v>
      </c>
    </row>
    <row r="84" spans="1:29" ht="18.75" hidden="1" customHeight="1">
      <c r="E84" s="158"/>
      <c r="F84" s="158"/>
      <c r="G84" s="158"/>
      <c r="H84" s="158"/>
      <c r="I84" s="158"/>
      <c r="J84" s="158"/>
      <c r="K84" s="158"/>
      <c r="L84" s="158"/>
      <c r="M84" s="158"/>
      <c r="N84" s="158"/>
      <c r="O84" s="158"/>
      <c r="P84" s="158"/>
      <c r="Q84" s="158"/>
      <c r="S84" s="80"/>
      <c r="T84" s="14"/>
      <c r="U84" s="193">
        <v>6302</v>
      </c>
      <c r="V84" s="192">
        <f>AC69</f>
        <v>11120935.26</v>
      </c>
      <c r="Y84" s="181">
        <v>6115</v>
      </c>
      <c r="Z84" s="79">
        <f>S44-V81</f>
        <v>38715439.230000004</v>
      </c>
    </row>
    <row r="85" spans="1:29" ht="18.75" hidden="1" customHeight="1">
      <c r="B85" s="163"/>
      <c r="C85" s="163"/>
      <c r="D85" s="163"/>
      <c r="E85" s="158"/>
      <c r="F85" s="158"/>
      <c r="G85" s="158"/>
      <c r="H85" s="158"/>
      <c r="I85" s="158"/>
      <c r="J85" s="158"/>
      <c r="K85" s="158"/>
      <c r="L85" s="158"/>
      <c r="M85" s="158"/>
      <c r="N85" s="158"/>
      <c r="O85" s="158"/>
      <c r="P85" s="158"/>
      <c r="Q85" s="158"/>
      <c r="S85" s="80"/>
      <c r="T85" s="14"/>
      <c r="U85" s="193">
        <v>6304</v>
      </c>
      <c r="V85" s="192">
        <f>AC70</f>
        <v>3706978.42</v>
      </c>
      <c r="Y85" s="181">
        <v>6115</v>
      </c>
      <c r="Z85" s="178">
        <f>Z72</f>
        <v>1749158.3599999999</v>
      </c>
    </row>
    <row r="86" spans="1:29" ht="24" hidden="1" customHeight="1">
      <c r="B86" s="163"/>
      <c r="C86" s="163"/>
      <c r="D86" s="163"/>
      <c r="E86" s="158"/>
      <c r="F86" s="158"/>
      <c r="G86" s="158"/>
      <c r="H86" s="158"/>
      <c r="I86" s="158"/>
      <c r="J86" s="158"/>
      <c r="K86" s="158"/>
      <c r="L86" s="158"/>
      <c r="M86" s="158"/>
      <c r="N86" s="158"/>
      <c r="O86" s="158"/>
      <c r="P86" s="158"/>
      <c r="Q86" s="158"/>
      <c r="S86" s="80"/>
      <c r="T86" s="14"/>
      <c r="U86" s="194" t="s">
        <v>143</v>
      </c>
      <c r="V86" s="195">
        <f>SUM(V78:V85)</f>
        <v>235098289.66999999</v>
      </c>
      <c r="Y86" s="79"/>
      <c r="Z86" s="178">
        <f>SUM(Z78:Z85)</f>
        <v>310036618.15000004</v>
      </c>
      <c r="AA86" s="157"/>
      <c r="AB86" s="157"/>
    </row>
    <row r="87" spans="1:29" ht="18.75" hidden="1" customHeight="1">
      <c r="B87" s="163"/>
      <c r="C87" s="163"/>
      <c r="D87" s="163"/>
      <c r="E87" s="158"/>
      <c r="F87" s="158"/>
      <c r="G87" s="158"/>
      <c r="H87" s="158"/>
      <c r="I87" s="158"/>
      <c r="J87" s="158"/>
      <c r="K87" s="158"/>
      <c r="L87" s="158"/>
      <c r="M87" s="158"/>
      <c r="N87" s="158"/>
      <c r="O87" s="158"/>
      <c r="P87" s="158"/>
      <c r="Q87" s="158"/>
      <c r="T87" s="14"/>
      <c r="U87" s="163"/>
      <c r="V87" s="163"/>
      <c r="Y87" s="181"/>
      <c r="Z87" s="79"/>
      <c r="AA87" s="79"/>
      <c r="AB87" s="79"/>
      <c r="AC87" s="79"/>
    </row>
    <row r="88" spans="1:29" ht="18.75" hidden="1" customHeight="1">
      <c r="A88" s="196"/>
      <c r="B88" s="197"/>
      <c r="C88" s="163"/>
      <c r="D88" s="163"/>
      <c r="E88" s="158"/>
      <c r="F88" s="158"/>
      <c r="G88" s="158"/>
      <c r="H88" s="158"/>
      <c r="I88" s="158"/>
      <c r="J88" s="158"/>
      <c r="K88" s="158"/>
      <c r="L88" s="158"/>
      <c r="M88" s="158"/>
      <c r="N88" s="158"/>
      <c r="O88" s="158"/>
      <c r="P88" s="158"/>
      <c r="Q88" s="158"/>
      <c r="T88" s="14"/>
      <c r="U88" s="198" t="s">
        <v>144</v>
      </c>
      <c r="V88" s="198"/>
      <c r="Y88" s="181"/>
      <c r="Z88" s="79">
        <f>V62-Z86</f>
        <v>118328471.84999996</v>
      </c>
      <c r="AA88" s="181"/>
      <c r="AB88" s="181"/>
      <c r="AC88" s="79"/>
    </row>
    <row r="89" spans="1:29" ht="18.75" hidden="1" customHeight="1">
      <c r="A89" s="196"/>
      <c r="B89" s="197"/>
      <c r="C89" s="163"/>
      <c r="D89" s="163"/>
      <c r="E89" s="158"/>
      <c r="F89" s="158"/>
      <c r="G89" s="158"/>
      <c r="H89" s="158"/>
      <c r="I89" s="158"/>
      <c r="J89" s="158"/>
      <c r="K89" s="158"/>
      <c r="L89" s="158"/>
      <c r="M89" s="158"/>
      <c r="N89" s="158"/>
      <c r="O89" s="158"/>
      <c r="P89" s="158"/>
      <c r="Q89" s="158"/>
      <c r="T89" s="14"/>
      <c r="U89" s="192">
        <v>6303</v>
      </c>
      <c r="V89" s="192" t="e">
        <f>#REF!</f>
        <v>#REF!</v>
      </c>
      <c r="Y89" s="181"/>
      <c r="Z89" s="79"/>
      <c r="AA89" s="79" t="e">
        <f>Z76+V86+V90+1600000</f>
        <v>#REF!</v>
      </c>
      <c r="AB89" s="79"/>
      <c r="AC89" s="79"/>
    </row>
    <row r="90" spans="1:29" ht="27.75" hidden="1" customHeight="1">
      <c r="A90" s="196"/>
      <c r="B90" s="197"/>
      <c r="C90" s="163"/>
      <c r="D90" s="163"/>
      <c r="E90" s="158"/>
      <c r="F90" s="158"/>
      <c r="G90" s="158"/>
      <c r="H90" s="158"/>
      <c r="I90" s="158"/>
      <c r="J90" s="158"/>
      <c r="K90" s="158"/>
      <c r="L90" s="158"/>
      <c r="M90" s="158"/>
      <c r="N90" s="158"/>
      <c r="O90" s="158"/>
      <c r="P90" s="158"/>
      <c r="Q90" s="158"/>
      <c r="R90" s="14"/>
      <c r="S90" s="14"/>
      <c r="T90" s="14"/>
      <c r="U90" s="194" t="s">
        <v>143</v>
      </c>
      <c r="V90" s="195" t="e">
        <f>V89</f>
        <v>#REF!</v>
      </c>
      <c r="Y90" s="79" t="s">
        <v>145</v>
      </c>
      <c r="Z90" s="79"/>
      <c r="AA90" s="79"/>
      <c r="AB90" s="79"/>
      <c r="AC90" s="79"/>
    </row>
    <row r="91" spans="1:29" ht="18.75" hidden="1" customHeight="1">
      <c r="A91" s="196"/>
      <c r="B91" s="197"/>
      <c r="C91" s="163"/>
      <c r="D91" s="163"/>
      <c r="E91" s="158"/>
      <c r="F91" s="158"/>
      <c r="G91" s="158"/>
      <c r="H91" s="158"/>
      <c r="I91" s="158"/>
      <c r="J91" s="158"/>
      <c r="K91" s="158"/>
      <c r="L91" s="158"/>
      <c r="M91" s="158"/>
      <c r="N91" s="158"/>
      <c r="O91" s="158"/>
      <c r="P91" s="158"/>
      <c r="Q91" s="158"/>
      <c r="R91" s="14"/>
      <c r="S91" s="14"/>
      <c r="T91" s="14"/>
      <c r="U91" s="14"/>
      <c r="V91" s="14"/>
      <c r="Y91" s="169" t="s">
        <v>133</v>
      </c>
      <c r="Z91" s="170"/>
      <c r="AA91" s="171" t="s">
        <v>134</v>
      </c>
      <c r="AB91" s="172"/>
      <c r="AC91" s="173"/>
    </row>
    <row r="92" spans="1:29" ht="22.5" hidden="1" customHeight="1">
      <c r="A92" s="196"/>
      <c r="B92" s="197"/>
      <c r="C92" s="163"/>
      <c r="D92" s="163"/>
      <c r="E92" s="158"/>
      <c r="F92" s="158"/>
      <c r="G92" s="158"/>
      <c r="H92" s="158"/>
      <c r="I92" s="158"/>
      <c r="J92" s="158"/>
      <c r="K92" s="158"/>
      <c r="L92" s="158"/>
      <c r="M92" s="158"/>
      <c r="N92" s="158"/>
      <c r="O92" s="158"/>
      <c r="P92" s="158"/>
      <c r="Q92" s="158"/>
      <c r="R92" s="14"/>
      <c r="S92" s="14"/>
      <c r="T92" s="14"/>
      <c r="U92" s="14"/>
      <c r="V92" s="14"/>
      <c r="W92" s="199"/>
      <c r="X92" s="199"/>
      <c r="Y92" s="79">
        <v>6001</v>
      </c>
      <c r="Z92" s="79"/>
      <c r="AA92" s="79">
        <v>6001</v>
      </c>
      <c r="AB92" s="79"/>
      <c r="AC92" s="183"/>
    </row>
    <row r="93" spans="1:29" ht="22.5" hidden="1" customHeight="1">
      <c r="A93" s="196"/>
      <c r="B93" s="197"/>
      <c r="C93" s="163"/>
      <c r="D93" s="163"/>
      <c r="E93" s="158"/>
      <c r="F93" s="158"/>
      <c r="G93" s="158"/>
      <c r="H93" s="158"/>
      <c r="I93" s="158"/>
      <c r="J93" s="158"/>
      <c r="K93" s="158"/>
      <c r="L93" s="158"/>
      <c r="M93" s="158"/>
      <c r="N93" s="158"/>
      <c r="O93" s="158"/>
      <c r="P93" s="158"/>
      <c r="Q93" s="158"/>
      <c r="R93" s="14"/>
      <c r="S93" s="14"/>
      <c r="T93" s="14"/>
      <c r="U93" s="14"/>
      <c r="V93" s="14"/>
      <c r="W93" s="199"/>
      <c r="X93" s="199"/>
      <c r="Y93" s="79">
        <v>6051</v>
      </c>
      <c r="Z93" s="79"/>
      <c r="AA93" s="79">
        <v>6051</v>
      </c>
      <c r="AB93" s="79"/>
      <c r="AC93" s="183"/>
    </row>
    <row r="94" spans="1:29" ht="22.5" hidden="1" customHeight="1">
      <c r="A94" s="196"/>
      <c r="B94" s="197"/>
      <c r="C94" s="163"/>
      <c r="D94" s="163"/>
      <c r="E94" s="158"/>
      <c r="F94" s="158"/>
      <c r="G94" s="158"/>
      <c r="H94" s="158"/>
      <c r="I94" s="158"/>
      <c r="J94" s="158"/>
      <c r="K94" s="158"/>
      <c r="L94" s="158"/>
      <c r="M94" s="158"/>
      <c r="N94" s="158"/>
      <c r="O94" s="158"/>
      <c r="P94" s="158"/>
      <c r="Q94" s="158"/>
      <c r="R94" s="14"/>
      <c r="S94" s="14"/>
      <c r="T94" s="14"/>
      <c r="U94" s="14"/>
      <c r="V94" s="14"/>
      <c r="Y94" s="79">
        <v>6099</v>
      </c>
      <c r="Z94" s="79"/>
      <c r="AA94" s="79">
        <v>6099</v>
      </c>
      <c r="AB94" s="79"/>
      <c r="AC94" s="183"/>
    </row>
    <row r="95" spans="1:29" ht="22.5" hidden="1" customHeight="1">
      <c r="A95" s="196"/>
      <c r="B95" s="197"/>
      <c r="C95" s="163"/>
      <c r="D95" s="163"/>
      <c r="E95" s="158"/>
      <c r="F95" s="158"/>
      <c r="G95" s="158"/>
      <c r="H95" s="158"/>
      <c r="I95" s="158"/>
      <c r="J95" s="158"/>
      <c r="K95" s="158"/>
      <c r="L95" s="158"/>
      <c r="M95" s="158"/>
      <c r="N95" s="158"/>
      <c r="O95" s="158"/>
      <c r="P95" s="158"/>
      <c r="Q95" s="158"/>
      <c r="R95" s="14"/>
      <c r="S95" s="14"/>
      <c r="T95" s="14"/>
      <c r="U95" s="14"/>
      <c r="V95" s="14"/>
      <c r="W95" s="199"/>
      <c r="X95" s="199"/>
      <c r="Y95" s="79">
        <v>6101</v>
      </c>
      <c r="Z95" s="79"/>
      <c r="AA95" s="79">
        <v>6101</v>
      </c>
      <c r="AB95" s="79"/>
      <c r="AC95" s="183"/>
    </row>
    <row r="96" spans="1:29" ht="22.5" hidden="1" customHeight="1">
      <c r="A96" s="196"/>
      <c r="B96" s="197"/>
      <c r="C96" s="163"/>
      <c r="D96" s="163"/>
      <c r="E96" s="158"/>
      <c r="F96" s="158"/>
      <c r="G96" s="158"/>
      <c r="H96" s="158"/>
      <c r="I96" s="158"/>
      <c r="J96" s="158"/>
      <c r="K96" s="158"/>
      <c r="L96" s="158"/>
      <c r="M96" s="158"/>
      <c r="N96" s="158"/>
      <c r="O96" s="158"/>
      <c r="P96" s="158"/>
      <c r="Q96" s="158"/>
      <c r="R96" s="14"/>
      <c r="S96" s="14"/>
      <c r="T96" s="14"/>
      <c r="U96" s="14"/>
      <c r="V96" s="14"/>
      <c r="W96" s="199"/>
      <c r="X96" s="199"/>
      <c r="Y96" s="79"/>
      <c r="Z96" s="79"/>
      <c r="AA96" s="79"/>
      <c r="AB96" s="79"/>
      <c r="AC96" s="183"/>
    </row>
    <row r="97" spans="1:29" ht="22.5" hidden="1" customHeight="1">
      <c r="A97" s="196"/>
      <c r="B97" s="197"/>
      <c r="C97" s="163"/>
      <c r="D97" s="163"/>
      <c r="E97" s="158"/>
      <c r="F97" s="158"/>
      <c r="G97" s="158"/>
      <c r="H97" s="158"/>
      <c r="I97" s="158"/>
      <c r="J97" s="158"/>
      <c r="K97" s="158"/>
      <c r="L97" s="158"/>
      <c r="M97" s="158"/>
      <c r="N97" s="158"/>
      <c r="O97" s="158"/>
      <c r="P97" s="158"/>
      <c r="Q97" s="158"/>
      <c r="R97" s="14"/>
      <c r="S97" s="14"/>
      <c r="T97" s="14"/>
      <c r="U97" s="14"/>
      <c r="V97" s="14"/>
      <c r="W97" s="199"/>
      <c r="X97" s="199"/>
      <c r="Y97" s="79"/>
      <c r="Z97" s="79"/>
      <c r="AA97" s="79"/>
      <c r="AB97" s="79"/>
      <c r="AC97" s="183"/>
    </row>
    <row r="98" spans="1:29" ht="22.5" hidden="1" customHeight="1">
      <c r="A98" s="196"/>
      <c r="B98" s="197"/>
      <c r="C98" s="163"/>
      <c r="D98" s="163"/>
      <c r="E98" s="158"/>
      <c r="F98" s="158"/>
      <c r="G98" s="158"/>
      <c r="H98" s="158"/>
      <c r="I98" s="158"/>
      <c r="J98" s="158"/>
      <c r="K98" s="158"/>
      <c r="L98" s="158"/>
      <c r="M98" s="158"/>
      <c r="N98" s="158"/>
      <c r="O98" s="158"/>
      <c r="P98" s="158"/>
      <c r="Q98" s="158"/>
      <c r="R98" s="14"/>
      <c r="S98" s="14"/>
      <c r="T98" s="14"/>
      <c r="U98" s="14"/>
      <c r="V98" s="14"/>
      <c r="W98" s="199"/>
      <c r="X98" s="199"/>
      <c r="Y98" s="79"/>
      <c r="Z98" s="79"/>
      <c r="AA98" s="79"/>
      <c r="AB98" s="79"/>
      <c r="AC98" s="183"/>
    </row>
    <row r="99" spans="1:29" ht="22.5" hidden="1" customHeight="1">
      <c r="A99" s="196"/>
      <c r="B99" s="197"/>
      <c r="C99" s="163"/>
      <c r="D99" s="163"/>
      <c r="E99" s="158"/>
      <c r="F99" s="158"/>
      <c r="G99" s="158"/>
      <c r="H99" s="158"/>
      <c r="I99" s="158"/>
      <c r="J99" s="158"/>
      <c r="K99" s="158"/>
      <c r="L99" s="158"/>
      <c r="M99" s="158"/>
      <c r="N99" s="158"/>
      <c r="O99" s="158"/>
      <c r="P99" s="158"/>
      <c r="Q99" s="158"/>
      <c r="R99" s="14"/>
      <c r="S99" s="14"/>
      <c r="T99" s="14"/>
      <c r="U99" s="14"/>
      <c r="V99" s="14"/>
      <c r="W99" s="199"/>
      <c r="X99" s="199"/>
      <c r="Y99" s="79"/>
      <c r="Z99" s="79"/>
      <c r="AA99" s="79"/>
      <c r="AB99" s="79"/>
      <c r="AC99" s="183"/>
    </row>
    <row r="100" spans="1:29" ht="22.5" hidden="1" customHeight="1">
      <c r="A100" s="196"/>
      <c r="B100" s="197"/>
      <c r="C100" s="163"/>
      <c r="D100" s="163"/>
      <c r="E100" s="158"/>
      <c r="F100" s="158"/>
      <c r="G100" s="158"/>
      <c r="H100" s="158"/>
      <c r="I100" s="158"/>
      <c r="J100" s="158"/>
      <c r="K100" s="158"/>
      <c r="L100" s="158"/>
      <c r="M100" s="158"/>
      <c r="N100" s="158"/>
      <c r="O100" s="158"/>
      <c r="P100" s="158"/>
      <c r="Q100" s="158"/>
      <c r="R100" s="14"/>
      <c r="S100" s="14"/>
      <c r="T100" s="14"/>
      <c r="U100" s="14"/>
      <c r="V100" s="14"/>
      <c r="W100" s="199"/>
      <c r="X100" s="199"/>
      <c r="Y100" s="79"/>
      <c r="Z100" s="79"/>
      <c r="AA100" s="79"/>
      <c r="AB100" s="79"/>
      <c r="AC100" s="183"/>
    </row>
    <row r="101" spans="1:29" ht="22.5" hidden="1" customHeight="1">
      <c r="A101" s="196"/>
      <c r="B101" s="197"/>
      <c r="C101" s="163"/>
      <c r="D101" s="163"/>
      <c r="E101" s="158"/>
      <c r="F101" s="158"/>
      <c r="G101" s="158"/>
      <c r="H101" s="158"/>
      <c r="I101" s="158"/>
      <c r="J101" s="158"/>
      <c r="K101" s="158"/>
      <c r="L101" s="158"/>
      <c r="M101" s="158"/>
      <c r="N101" s="158"/>
      <c r="O101" s="158"/>
      <c r="P101" s="158"/>
      <c r="Q101" s="158"/>
      <c r="R101" s="14"/>
      <c r="S101" s="14"/>
      <c r="T101" s="14"/>
      <c r="U101" s="14"/>
      <c r="V101" s="14"/>
      <c r="W101" s="199"/>
      <c r="X101" s="199"/>
      <c r="Y101" s="79"/>
      <c r="Z101" s="79"/>
      <c r="AA101" s="79"/>
      <c r="AB101" s="79"/>
      <c r="AC101" s="183"/>
    </row>
    <row r="102" spans="1:29" ht="22.5" hidden="1" customHeight="1">
      <c r="B102" s="200"/>
      <c r="Y102" s="181">
        <v>6101</v>
      </c>
      <c r="Z102" s="79"/>
      <c r="AA102" s="79">
        <v>6101</v>
      </c>
      <c r="AB102" s="79"/>
      <c r="AC102" s="183"/>
    </row>
    <row r="103" spans="1:29" ht="22.5" hidden="1" customHeight="1">
      <c r="B103" s="200"/>
      <c r="R103" s="12"/>
      <c r="Y103" s="181">
        <v>6112</v>
      </c>
      <c r="Z103" s="79"/>
      <c r="AA103" s="79">
        <v>6115</v>
      </c>
      <c r="AB103" s="79"/>
      <c r="AC103" s="183"/>
    </row>
    <row r="104" spans="1:29" ht="22.5" hidden="1" customHeight="1">
      <c r="B104" s="200"/>
      <c r="R104" s="12"/>
      <c r="Y104" s="181">
        <v>6113</v>
      </c>
      <c r="Z104" s="79"/>
      <c r="AA104" s="181">
        <v>6301</v>
      </c>
      <c r="AB104" s="181"/>
      <c r="AC104" s="183"/>
    </row>
    <row r="105" spans="1:29" ht="22.5" hidden="1" customHeight="1">
      <c r="W105" s="199"/>
      <c r="X105" s="199"/>
      <c r="Y105" s="181">
        <v>6115</v>
      </c>
      <c r="Z105" s="79"/>
      <c r="AA105" s="181">
        <v>6302</v>
      </c>
      <c r="AB105" s="181"/>
      <c r="AC105" s="183"/>
    </row>
    <row r="106" spans="1:29" ht="22.5" hidden="1" customHeight="1">
      <c r="B106" s="12"/>
      <c r="Y106" s="181"/>
      <c r="Z106" s="178"/>
      <c r="AA106" s="181">
        <v>6304</v>
      </c>
      <c r="AB106" s="181"/>
      <c r="AC106" s="183"/>
    </row>
    <row r="107" spans="1:29" ht="22.5" hidden="1" customHeight="1">
      <c r="W107" s="199"/>
      <c r="X107" s="199"/>
      <c r="Y107" s="79"/>
      <c r="Z107" s="79"/>
      <c r="AA107" s="79"/>
      <c r="AB107" s="79"/>
      <c r="AC107" s="79"/>
    </row>
    <row r="108" spans="1:29" ht="22.5" hidden="1" customHeight="1">
      <c r="Y108" s="79"/>
      <c r="Z108" s="178">
        <f>SUM(Z92:Z106)</f>
        <v>0</v>
      </c>
      <c r="AA108" s="178"/>
      <c r="AB108" s="178"/>
      <c r="AC108" s="178">
        <f>SUM(AC92:AC106)</f>
        <v>0</v>
      </c>
    </row>
    <row r="109" spans="1:29" ht="17.25" hidden="1" customHeight="1">
      <c r="Y109" s="181"/>
      <c r="Z109" s="79"/>
      <c r="AA109" s="181"/>
      <c r="AB109" s="181"/>
      <c r="AC109" s="79"/>
    </row>
    <row r="110" spans="1:29" ht="17.25" hidden="1" customHeight="1">
      <c r="Y110" s="181"/>
      <c r="Z110" s="79">
        <f>Z86+'[2]TL nâng L 2022 (2)'!AC45</f>
        <v>311960246.89000005</v>
      </c>
      <c r="AA110" s="79"/>
      <c r="AB110" s="79"/>
      <c r="AC110" s="79">
        <f>V86+'[2]TL nâng L 2022 (2)'!AE45</f>
        <v>235612661.50999999</v>
      </c>
    </row>
    <row r="111" spans="1:29" ht="17.25" hidden="1" customHeight="1">
      <c r="B111" s="12"/>
      <c r="Y111" s="79"/>
      <c r="Z111" s="79"/>
      <c r="AA111" s="79"/>
      <c r="AB111" s="79"/>
      <c r="AC111" s="79"/>
    </row>
    <row r="112" spans="1:29" ht="17.25" hidden="1" customHeight="1">
      <c r="B112" s="12"/>
      <c r="Y112" s="79"/>
      <c r="Z112" s="79"/>
      <c r="AA112" s="79"/>
      <c r="AB112" s="79"/>
      <c r="AC112" s="79"/>
    </row>
    <row r="113" spans="1:30" ht="17.25" hidden="1" customHeight="1">
      <c r="B113" s="12"/>
      <c r="Y113" s="181"/>
      <c r="Z113" s="79"/>
      <c r="AA113" s="79"/>
      <c r="AB113" s="79"/>
      <c r="AC113" s="79"/>
    </row>
    <row r="114" spans="1:30" ht="17.25" hidden="1" customHeight="1">
      <c r="B114" s="12"/>
      <c r="Y114" s="181"/>
      <c r="Z114" s="79" t="e">
        <f>Z86+V86+V90</f>
        <v>#REF!</v>
      </c>
      <c r="AA114" s="181" t="e">
        <f>Z114*3</f>
        <v>#REF!</v>
      </c>
      <c r="AB114" s="181"/>
      <c r="AC114" s="79"/>
    </row>
    <row r="115" spans="1:30" s="202" customFormat="1" ht="17.25" hidden="1" customHeight="1">
      <c r="A115" s="5"/>
      <c r="B115" s="12"/>
      <c r="C115" s="5"/>
      <c r="D115" s="5"/>
      <c r="E115" s="12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6"/>
      <c r="X115" s="6"/>
      <c r="Y115" s="181"/>
      <c r="Z115" s="79"/>
      <c r="AA115" s="79"/>
      <c r="AB115" s="79"/>
      <c r="AC115" s="79"/>
      <c r="AD115" s="201"/>
    </row>
    <row r="116" spans="1:30" s="202" customFormat="1" ht="23.25" hidden="1" customHeight="1">
      <c r="A116" s="5"/>
      <c r="B116" s="3"/>
      <c r="C116" s="5"/>
      <c r="D116" s="5"/>
      <c r="E116" s="12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6"/>
      <c r="X116" s="6"/>
      <c r="Y116" s="79"/>
      <c r="Z116" s="79">
        <v>597922990</v>
      </c>
      <c r="AA116" s="79"/>
      <c r="AB116" s="79"/>
      <c r="AC116" s="79"/>
      <c r="AD116" s="201"/>
    </row>
    <row r="117" spans="1:30" s="202" customFormat="1" ht="17.25" hidden="1" customHeight="1">
      <c r="A117" s="5"/>
      <c r="B117" s="3"/>
      <c r="C117" s="5"/>
      <c r="D117" s="5"/>
      <c r="E117" s="12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6"/>
      <c r="X117" s="6"/>
      <c r="Y117" s="79"/>
      <c r="Z117" s="79" t="e">
        <f>Z116-Z114</f>
        <v>#REF!</v>
      </c>
      <c r="AA117" s="79"/>
      <c r="AB117" s="79"/>
      <c r="AC117" s="79"/>
      <c r="AD117" s="201"/>
    </row>
    <row r="118" spans="1:30" s="202" customFormat="1" ht="17.25" hidden="1" customHeight="1">
      <c r="A118" s="5"/>
      <c r="B118" s="3"/>
      <c r="C118" s="5"/>
      <c r="D118" s="5"/>
      <c r="E118" s="12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6"/>
      <c r="X118" s="6"/>
      <c r="Y118" s="181"/>
      <c r="Z118" s="79"/>
      <c r="AA118" s="79"/>
      <c r="AB118" s="79"/>
      <c r="AC118" s="79"/>
      <c r="AD118" s="201"/>
    </row>
    <row r="119" spans="1:30" s="202" customFormat="1" ht="17.25" hidden="1" customHeight="1">
      <c r="A119" s="5"/>
      <c r="B119" s="3"/>
      <c r="C119" s="5"/>
      <c r="D119" s="5"/>
      <c r="E119" s="12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6"/>
      <c r="X119" s="6"/>
      <c r="Y119" s="181"/>
      <c r="Z119" s="79"/>
      <c r="AA119" s="181"/>
      <c r="AB119" s="181"/>
      <c r="AC119" s="79"/>
      <c r="AD119" s="201"/>
    </row>
    <row r="120" spans="1:30" s="202" customFormat="1" ht="13.5" hidden="1" customHeight="1">
      <c r="A120" s="5"/>
      <c r="B120" s="3"/>
      <c r="C120" s="5"/>
      <c r="D120" s="5"/>
      <c r="E120" s="12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6"/>
      <c r="X120" s="6"/>
      <c r="Y120" s="181"/>
      <c r="Z120" s="79"/>
      <c r="AA120" s="79"/>
      <c r="AB120" s="79"/>
      <c r="AC120" s="79"/>
      <c r="AD120" s="201"/>
    </row>
    <row r="121" spans="1:30" s="202" customFormat="1" ht="17.25" hidden="1" customHeight="1">
      <c r="A121" s="5"/>
      <c r="B121" s="3"/>
      <c r="C121" s="5"/>
      <c r="D121" s="5"/>
      <c r="E121" s="12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6"/>
      <c r="X121" s="6"/>
      <c r="Y121" s="7" t="e">
        <f>#REF!+#REF!-#REF!</f>
        <v>#REF!</v>
      </c>
      <c r="Z121" s="7"/>
      <c r="AA121" s="7"/>
      <c r="AB121" s="7"/>
      <c r="AC121" s="5"/>
      <c r="AD121" s="201"/>
    </row>
    <row r="122" spans="1:30" s="202" customFormat="1" ht="17.25" hidden="1" customHeight="1">
      <c r="A122" s="5"/>
      <c r="B122" s="200"/>
      <c r="C122" s="5"/>
      <c r="D122" s="5"/>
      <c r="E122" s="12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6"/>
      <c r="X122" s="6"/>
      <c r="Y122" s="7" t="e">
        <f>Y121-3205351</f>
        <v>#REF!</v>
      </c>
      <c r="Z122" s="7"/>
      <c r="AA122" s="7"/>
      <c r="AB122" s="7"/>
      <c r="AC122" s="5"/>
      <c r="AD122" s="201"/>
    </row>
    <row r="123" spans="1:30" s="202" customFormat="1" ht="25.5" hidden="1" customHeight="1">
      <c r="A123" s="5"/>
      <c r="B123" s="5"/>
      <c r="C123" s="5"/>
      <c r="D123" s="5"/>
      <c r="E123" s="12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6"/>
      <c r="X123" s="6"/>
      <c r="Y123" s="7">
        <v>297197</v>
      </c>
      <c r="Z123" s="7"/>
      <c r="AA123" s="7"/>
      <c r="AB123" s="7"/>
      <c r="AC123" s="5"/>
      <c r="AD123" s="201"/>
    </row>
    <row r="124" spans="1:30" s="202" customFormat="1" ht="17.25" hidden="1" customHeight="1">
      <c r="A124" s="5"/>
      <c r="B124" s="5"/>
      <c r="C124" s="5"/>
      <c r="D124" s="5"/>
      <c r="E124" s="12"/>
      <c r="F124" s="5"/>
      <c r="G124" s="5"/>
      <c r="H124" s="5"/>
      <c r="I124" s="5"/>
      <c r="J124" s="5" t="s">
        <v>146</v>
      </c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6"/>
      <c r="X124" s="6"/>
      <c r="Y124" s="7">
        <v>7468391</v>
      </c>
      <c r="Z124" s="7"/>
      <c r="AA124" s="7"/>
      <c r="AB124" s="7"/>
      <c r="AC124" s="5"/>
      <c r="AD124" s="201"/>
    </row>
    <row r="125" spans="1:30" s="202" customFormat="1" ht="17.25" hidden="1" customHeight="1">
      <c r="A125" s="5"/>
      <c r="B125" s="5"/>
      <c r="C125" s="5"/>
      <c r="D125" s="5"/>
      <c r="E125" s="12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6"/>
      <c r="X125" s="6"/>
      <c r="Y125" s="7">
        <v>5026050</v>
      </c>
      <c r="Z125" s="157">
        <f>SUM(Z120:Z124)</f>
        <v>0</v>
      </c>
      <c r="AA125" s="203"/>
      <c r="AB125" s="203"/>
      <c r="AC125" s="5"/>
      <c r="AD125" s="201"/>
    </row>
    <row r="126" spans="1:30" s="202" customFormat="1" ht="17.25" hidden="1" customHeight="1">
      <c r="A126" s="5"/>
      <c r="B126" s="5"/>
      <c r="C126" s="5"/>
      <c r="D126" s="5"/>
      <c r="E126" s="12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6"/>
      <c r="X126" s="6"/>
      <c r="Y126" s="7">
        <f>Y123+Y124-Y125</f>
        <v>2739538</v>
      </c>
      <c r="Z126" s="7"/>
      <c r="AA126" s="204">
        <f>Z125+AA123</f>
        <v>0</v>
      </c>
      <c r="AB126" s="204"/>
      <c r="AC126" s="5"/>
      <c r="AD126" s="201"/>
    </row>
    <row r="127" spans="1:30" s="202" customFormat="1" ht="17.25" hidden="1" customHeight="1">
      <c r="A127" s="5"/>
      <c r="B127" s="5"/>
      <c r="C127" s="5"/>
      <c r="D127" s="5"/>
      <c r="E127" s="12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6"/>
      <c r="X127" s="6"/>
      <c r="Y127" s="7"/>
      <c r="Z127" s="7"/>
      <c r="AA127" s="7"/>
      <c r="AB127" s="7"/>
      <c r="AC127" s="5"/>
      <c r="AD127" s="201"/>
    </row>
    <row r="128" spans="1:30" s="202" customFormat="1" ht="17.25" hidden="1" customHeight="1">
      <c r="A128" s="5"/>
      <c r="B128" s="5"/>
      <c r="C128" s="5"/>
      <c r="D128" s="5"/>
      <c r="E128" s="12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6"/>
      <c r="X128" s="6"/>
      <c r="Y128" s="7"/>
      <c r="Z128" s="7"/>
      <c r="AA128" s="7"/>
      <c r="AB128" s="7"/>
      <c r="AC128" s="5"/>
      <c r="AD128" s="201"/>
    </row>
    <row r="129" spans="1:30" s="202" customFormat="1" ht="17.25" customHeight="1">
      <c r="A129" s="5"/>
      <c r="B129" s="5"/>
      <c r="C129" s="5"/>
      <c r="D129" s="5"/>
      <c r="E129" s="12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6"/>
      <c r="X129" s="6"/>
      <c r="Y129" s="7"/>
      <c r="Z129" s="205">
        <f>Z76-V62</f>
        <v>-0.40999996662139893</v>
      </c>
      <c r="AA129" s="7"/>
      <c r="AB129" s="7"/>
      <c r="AC129" s="5"/>
      <c r="AD129" s="201"/>
    </row>
    <row r="130" spans="1:30" s="202" customFormat="1" ht="17.25" customHeight="1">
      <c r="A130" s="5"/>
      <c r="B130" s="5"/>
      <c r="C130" s="5"/>
      <c r="D130" s="5"/>
      <c r="E130" s="12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6"/>
      <c r="X130" s="6"/>
      <c r="Y130" s="7"/>
      <c r="Z130" s="7"/>
      <c r="AA130" s="7"/>
      <c r="AB130" s="7"/>
      <c r="AC130" s="5"/>
      <c r="AD130" s="201"/>
    </row>
    <row r="131" spans="1:30" ht="17.25" customHeight="1"/>
    <row r="132" spans="1:30" ht="17.25" customHeight="1"/>
    <row r="133" spans="1:30" ht="17.25" customHeight="1"/>
    <row r="134" spans="1:30" ht="17.25" customHeight="1"/>
    <row r="135" spans="1:30" ht="17.25" customHeight="1"/>
    <row r="136" spans="1:30" ht="17.25" customHeight="1"/>
    <row r="137" spans="1:30" ht="17.25" customHeight="1"/>
    <row r="138" spans="1:30" ht="17.25" customHeight="1"/>
    <row r="139" spans="1:30" ht="17.25" customHeight="1"/>
    <row r="140" spans="1:30" ht="17.25" customHeight="1"/>
    <row r="141" spans="1:30" ht="17.25" customHeight="1"/>
    <row r="142" spans="1:30" ht="17.25" customHeight="1"/>
    <row r="143" spans="1:30" ht="17.25" customHeight="1"/>
    <row r="144" spans="1:30" ht="17.25" customHeight="1"/>
    <row r="145" ht="17.25" customHeight="1"/>
    <row r="146" ht="17.25" customHeight="1"/>
  </sheetData>
  <autoFilter ref="A8:AC63" xr:uid="{00000000-0009-0000-0000-000008000000}"/>
  <mergeCells count="48">
    <mergeCell ref="U88:V88"/>
    <mergeCell ref="Y91:Z91"/>
    <mergeCell ref="AA91:AC91"/>
    <mergeCell ref="B66:C66"/>
    <mergeCell ref="R66:V66"/>
    <mergeCell ref="B70:C70"/>
    <mergeCell ref="R70:V70"/>
    <mergeCell ref="U77:V77"/>
    <mergeCell ref="Y77:Z77"/>
    <mergeCell ref="S6:S7"/>
    <mergeCell ref="Y9:AC9"/>
    <mergeCell ref="B45:M45"/>
    <mergeCell ref="B60:P60"/>
    <mergeCell ref="R65:V65"/>
    <mergeCell ref="Y65:Z65"/>
    <mergeCell ref="AA65:AC65"/>
    <mergeCell ref="J6:J7"/>
    <mergeCell ref="K6:K7"/>
    <mergeCell ref="L6:M6"/>
    <mergeCell ref="P6:P7"/>
    <mergeCell ref="Q6:Q7"/>
    <mergeCell ref="R6:R7"/>
    <mergeCell ref="AB4:AB7"/>
    <mergeCell ref="AC4:AC7"/>
    <mergeCell ref="F5:F7"/>
    <mergeCell ref="G5:G7"/>
    <mergeCell ref="H5:H7"/>
    <mergeCell ref="I5:M5"/>
    <mergeCell ref="N5:N7"/>
    <mergeCell ref="O5:O7"/>
    <mergeCell ref="P5:S5"/>
    <mergeCell ref="I6:I7"/>
    <mergeCell ref="U4:U7"/>
    <mergeCell ref="V4:V7"/>
    <mergeCell ref="W4:W7"/>
    <mergeCell ref="Y4:Y7"/>
    <mergeCell ref="Z4:Z7"/>
    <mergeCell ref="AA4:AA7"/>
    <mergeCell ref="A2:W2"/>
    <mergeCell ref="J3:L3"/>
    <mergeCell ref="A4:A7"/>
    <mergeCell ref="B4:B7"/>
    <mergeCell ref="C4:C7"/>
    <mergeCell ref="D4:D7"/>
    <mergeCell ref="E4:E7"/>
    <mergeCell ref="F4:M4"/>
    <mergeCell ref="N4:S4"/>
    <mergeCell ref="T4:T7"/>
  </mergeCells>
  <pageMargins left="0.23622047244094491" right="0" top="0.27559055118110237" bottom="0.23622047244094491" header="0.19685039370078741" footer="0.19685039370078741"/>
  <pageSetup paperSize="9" scale="64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 LT 6.25(2340k)</vt:lpstr>
      <vt:lpstr> LT 7.25(2340k)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2025-05-28T03:23:06Z</dcterms:created>
  <dcterms:modified xsi:type="dcterms:W3CDTF">2025-05-28T03:28:38Z</dcterms:modified>
</cp:coreProperties>
</file>